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5"/>
  <workbookPr defaultThemeVersion="124226"/>
  <mc:AlternateContent xmlns:mc="http://schemas.openxmlformats.org/markup-compatibility/2006">
    <mc:Choice Requires="x15">
      <x15ac:absPath xmlns:x15ac="http://schemas.microsoft.com/office/spreadsheetml/2010/11/ac" url="/Users/Darren/Github clones/data-projects/CEPs/raw data/"/>
    </mc:Choice>
  </mc:AlternateContent>
  <xr:revisionPtr revIDLastSave="0" documentId="13_ncr:40009_{8D706105-B90D-7448-823C-B71CD8B8119D}" xr6:coauthVersionLast="43" xr6:coauthVersionMax="43" xr10:uidLastSave="{00000000-0000-0000-0000-000000000000}"/>
  <bookViews>
    <workbookView xWindow="0" yWindow="460" windowWidth="38400" windowHeight="20320" tabRatio="770" firstSheet="3" activeTab="6"/>
  </bookViews>
  <sheets>
    <sheet name="EM-MPD - graph" sheetId="6" r:id="rId1"/>
    <sheet name="EM-BHD - graph" sheetId="5" r:id="rId2"/>
    <sheet name="CMP - graph" sheetId="7" r:id="rId3"/>
    <sheet name="State - graph" sheetId="10" r:id="rId4"/>
    <sheet name="Class - graph" sheetId="11" r:id="rId5"/>
    <sheet name="Class Definitions" sheetId="9" r:id="rId6"/>
    <sheet name="Load" sheetId="4" r:id="rId7"/>
    <sheet name="Customers" sheetId="2"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Print_Titles" localSheetId="7">Customers!$A:$A</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7" i="2" l="1"/>
  <c r="AP7" i="2"/>
  <c r="AO7" i="2"/>
  <c r="AQ7" i="2"/>
  <c r="AR7" i="2"/>
  <c r="AS7" i="2"/>
  <c r="AM7" i="2"/>
  <c r="AT7" i="2"/>
  <c r="AN7" i="2"/>
  <c r="AN8" i="2"/>
  <c r="AP8" i="2"/>
  <c r="AO8" i="2"/>
  <c r="AQ8" i="2"/>
  <c r="AR8" i="2"/>
  <c r="AL8" i="2"/>
  <c r="AS8" i="2"/>
  <c r="AM8" i="2"/>
  <c r="AT8" i="2"/>
  <c r="AM9" i="2"/>
  <c r="AN9" i="2"/>
  <c r="AO9" i="2"/>
  <c r="AP9" i="2"/>
  <c r="AQ9" i="2"/>
  <c r="AR9" i="2"/>
  <c r="AL9" i="2"/>
  <c r="AS9" i="2"/>
  <c r="AT9" i="2"/>
  <c r="AL10" i="2"/>
  <c r="AM10" i="2"/>
  <c r="AN10" i="2"/>
  <c r="AP10" i="2"/>
  <c r="AO10" i="2"/>
  <c r="AQ10" i="2"/>
  <c r="AR10" i="2"/>
  <c r="AS10" i="2"/>
  <c r="AT10" i="2"/>
  <c r="AL11" i="2"/>
  <c r="AM11" i="2"/>
  <c r="AO11" i="2"/>
  <c r="AP11" i="2"/>
  <c r="AQ11" i="2"/>
  <c r="AR11" i="2"/>
  <c r="AS11" i="2"/>
  <c r="AT11" i="2"/>
  <c r="AN11" i="2"/>
  <c r="AL12" i="2"/>
  <c r="AO12" i="2"/>
  <c r="AP12" i="2"/>
  <c r="AQ12" i="2"/>
  <c r="AR12" i="2"/>
  <c r="AS12" i="2"/>
  <c r="AM12" i="2"/>
  <c r="AT12" i="2"/>
  <c r="AN12" i="2"/>
  <c r="AT6" i="2"/>
  <c r="AN6" i="2"/>
  <c r="AS6" i="2"/>
  <c r="AR6" i="2"/>
  <c r="AQ6" i="2"/>
  <c r="AP6" i="2"/>
  <c r="AO6" i="2"/>
  <c r="AM6" i="2"/>
  <c r="AL6" i="2"/>
  <c r="AL9" i="4"/>
  <c r="AN9" i="4"/>
  <c r="AM9" i="4"/>
  <c r="AO9" i="4"/>
  <c r="AP9" i="4"/>
  <c r="AQ9" i="4"/>
  <c r="AL10" i="4"/>
  <c r="AM10" i="4"/>
  <c r="AN10" i="4"/>
  <c r="AO10" i="4"/>
  <c r="AP10" i="4"/>
  <c r="AQ10" i="4"/>
  <c r="AL11" i="4"/>
  <c r="AM11" i="4"/>
  <c r="AN11" i="4"/>
  <c r="AO11" i="4"/>
  <c r="AP11" i="4"/>
  <c r="AQ11" i="4"/>
  <c r="AL12" i="4"/>
  <c r="AM12" i="4"/>
  <c r="AN12" i="4"/>
  <c r="AO12" i="4"/>
  <c r="AP12" i="4"/>
  <c r="AQ12" i="4"/>
  <c r="AL13" i="4"/>
  <c r="AM13" i="4"/>
  <c r="AN13" i="4"/>
  <c r="AO13" i="4"/>
  <c r="AP13" i="4"/>
  <c r="AQ13" i="4"/>
  <c r="AL14" i="4"/>
  <c r="AM14" i="4"/>
  <c r="AN14" i="4"/>
  <c r="AO14" i="4"/>
  <c r="AP14" i="4"/>
  <c r="AQ14" i="4"/>
  <c r="AQ8" i="4"/>
  <c r="AP8" i="4"/>
  <c r="AO8" i="4"/>
  <c r="AN8" i="4"/>
  <c r="AL8" i="4"/>
  <c r="AM8" i="4"/>
  <c r="AT13" i="2"/>
  <c r="AS13" i="2"/>
  <c r="AM13" i="2"/>
  <c r="AR13" i="2"/>
  <c r="AL13" i="2"/>
  <c r="AQ13" i="2"/>
  <c r="AP13" i="2"/>
  <c r="AO13" i="2"/>
  <c r="AN13" i="2"/>
  <c r="AP15" i="2"/>
  <c r="AO15" i="2"/>
  <c r="AQ15" i="2"/>
  <c r="AR15" i="2"/>
  <c r="AL15" i="2"/>
  <c r="AS15" i="2"/>
  <c r="AM15" i="2"/>
  <c r="AT15" i="2"/>
  <c r="AN15" i="2"/>
  <c r="AT14" i="2"/>
  <c r="AN14" i="2"/>
  <c r="AS14" i="2"/>
  <c r="AR14" i="2"/>
  <c r="AL14" i="2"/>
  <c r="AQ14" i="2"/>
  <c r="AO14" i="2"/>
  <c r="AP14" i="2"/>
  <c r="AM14" i="2"/>
  <c r="AL16" i="4"/>
  <c r="AM16" i="4"/>
  <c r="AN16" i="4"/>
  <c r="AO16" i="4"/>
  <c r="AP16" i="4"/>
  <c r="AQ16" i="4"/>
  <c r="AL17" i="4"/>
  <c r="AN17" i="4"/>
  <c r="AO17" i="4"/>
  <c r="AP17" i="4"/>
  <c r="AQ17" i="4"/>
  <c r="AQ15" i="4"/>
  <c r="AP15" i="4"/>
  <c r="AO15" i="4"/>
  <c r="AN15" i="4"/>
  <c r="AM15" i="4"/>
  <c r="AL15" i="4"/>
  <c r="AQ19" i="4"/>
  <c r="AP19" i="4"/>
  <c r="AO19" i="4"/>
  <c r="AN19" i="4"/>
  <c r="AL19" i="4"/>
  <c r="AQ18" i="4"/>
  <c r="AP18" i="4"/>
  <c r="AO18" i="4"/>
  <c r="AN18" i="4"/>
  <c r="AM18" i="4"/>
  <c r="AL18" i="4"/>
  <c r="AT16" i="2"/>
  <c r="AN16" i="2"/>
  <c r="AS16" i="2"/>
  <c r="AM16" i="2"/>
  <c r="AR16" i="2"/>
  <c r="AQ16" i="2"/>
  <c r="AP16" i="2"/>
  <c r="AO16" i="2"/>
  <c r="AL16" i="2"/>
  <c r="AT21" i="2"/>
  <c r="AS21" i="2"/>
  <c r="AM21" i="2"/>
  <c r="AR21" i="2"/>
  <c r="AL21" i="2"/>
  <c r="AQ21" i="2"/>
  <c r="AP21" i="2"/>
  <c r="AO21" i="2"/>
  <c r="AN21" i="2"/>
  <c r="AT20" i="2"/>
  <c r="AN20" i="2"/>
  <c r="AS20" i="2"/>
  <c r="AM20" i="2"/>
  <c r="AR20" i="2"/>
  <c r="AQ20" i="2"/>
  <c r="AP20" i="2"/>
  <c r="AO20" i="2"/>
  <c r="AL20" i="2"/>
  <c r="AT19" i="2"/>
  <c r="AN19" i="2"/>
  <c r="AS19" i="2"/>
  <c r="AM19" i="2"/>
  <c r="AR19" i="2"/>
  <c r="AQ19" i="2"/>
  <c r="AP19" i="2"/>
  <c r="AO19" i="2"/>
  <c r="AL19" i="2"/>
  <c r="AT18" i="2"/>
  <c r="AN18" i="2"/>
  <c r="AS18" i="2"/>
  <c r="AM18" i="2"/>
  <c r="AR18" i="2"/>
  <c r="AL18" i="2"/>
  <c r="AQ18" i="2"/>
  <c r="AP18" i="2"/>
  <c r="AO18" i="2"/>
  <c r="AT17" i="2"/>
  <c r="AS17" i="2"/>
  <c r="AM17" i="2"/>
  <c r="AR17" i="2"/>
  <c r="AL17" i="2"/>
  <c r="AQ17" i="2"/>
  <c r="AP17" i="2"/>
  <c r="AO17" i="2"/>
  <c r="AN17" i="2"/>
  <c r="AQ23" i="4"/>
  <c r="AP23" i="4"/>
  <c r="AO23" i="4"/>
  <c r="AN23" i="4"/>
  <c r="AL23" i="4"/>
  <c r="AQ22" i="4"/>
  <c r="AP22" i="4"/>
  <c r="AO22" i="4"/>
  <c r="AN22" i="4"/>
  <c r="AM22" i="4"/>
  <c r="AL22" i="4"/>
  <c r="AQ21" i="4"/>
  <c r="AP21" i="4"/>
  <c r="AO21" i="4"/>
  <c r="AN21" i="4"/>
  <c r="AL21" i="4"/>
  <c r="AQ20" i="4"/>
  <c r="AP20" i="4"/>
  <c r="AO20" i="4"/>
  <c r="AN20" i="4"/>
  <c r="AL20" i="4"/>
  <c r="AP22" i="2"/>
  <c r="AO22" i="2"/>
  <c r="AQ22" i="2"/>
  <c r="AR22" i="2"/>
  <c r="AL22" i="2"/>
  <c r="AS22" i="2"/>
  <c r="AM22" i="2"/>
  <c r="AT22" i="2"/>
  <c r="AN22" i="2"/>
  <c r="AP23" i="2"/>
  <c r="AO23" i="2"/>
  <c r="AQ23" i="2"/>
  <c r="AR23" i="2"/>
  <c r="AL23" i="2"/>
  <c r="AS23" i="2"/>
  <c r="AM23" i="2"/>
  <c r="AT23" i="2"/>
  <c r="AN23" i="2"/>
  <c r="AP24" i="2"/>
  <c r="AQ24" i="2"/>
  <c r="AR24" i="2"/>
  <c r="AL24" i="2"/>
  <c r="AS24" i="2"/>
  <c r="AM24" i="2"/>
  <c r="AT24" i="2"/>
  <c r="AN24" i="2"/>
  <c r="AL24" i="4"/>
  <c r="AN24" i="4"/>
  <c r="AM24" i="4"/>
  <c r="AO24" i="4"/>
  <c r="AP24" i="4"/>
  <c r="AQ24" i="4"/>
  <c r="AL25" i="4"/>
  <c r="AN25" i="4"/>
  <c r="AO25" i="4"/>
  <c r="AP25" i="4"/>
  <c r="AQ25" i="4"/>
  <c r="AL26" i="4"/>
  <c r="AM26" i="4"/>
  <c r="AN26" i="4"/>
  <c r="AO26" i="4"/>
  <c r="AP26" i="4"/>
  <c r="AQ26" i="4"/>
  <c r="AP25" i="2"/>
  <c r="AO25" i="2"/>
  <c r="AQ25" i="2"/>
  <c r="AR25" i="2"/>
  <c r="AL25" i="2"/>
  <c r="AS25" i="2"/>
  <c r="AM25" i="2"/>
  <c r="AT25" i="2"/>
  <c r="AN25" i="2"/>
  <c r="AP26" i="2"/>
  <c r="AQ26" i="2"/>
  <c r="AO26" i="2"/>
  <c r="AR26" i="2"/>
  <c r="AL26" i="2"/>
  <c r="AS26" i="2"/>
  <c r="AM26" i="2"/>
  <c r="AT26" i="2"/>
  <c r="AN26" i="2"/>
  <c r="AP27" i="2"/>
  <c r="AO27" i="2"/>
  <c r="AQ27" i="2"/>
  <c r="AR27" i="2"/>
  <c r="AL27" i="2"/>
  <c r="AS27" i="2"/>
  <c r="AM27" i="2"/>
  <c r="AT27" i="2"/>
  <c r="AN27" i="2"/>
  <c r="AL27" i="4"/>
  <c r="AM27" i="4"/>
  <c r="AN27" i="4"/>
  <c r="AO27" i="4"/>
  <c r="AP27" i="4"/>
  <c r="AQ27" i="4"/>
  <c r="AL28" i="4"/>
  <c r="AN28" i="4"/>
  <c r="AO28" i="4"/>
  <c r="AP28" i="4"/>
  <c r="AQ28" i="4"/>
  <c r="AL29" i="4"/>
  <c r="AN29" i="4"/>
  <c r="AO29" i="4"/>
  <c r="AP29" i="4"/>
  <c r="AQ29" i="4"/>
  <c r="AL31" i="4"/>
  <c r="AM31" i="4"/>
  <c r="AN31" i="4"/>
  <c r="AO31" i="4"/>
  <c r="AP31" i="4"/>
  <c r="AQ31" i="4"/>
  <c r="AL32" i="4"/>
  <c r="AM32" i="4"/>
  <c r="AN32" i="4"/>
  <c r="AO32" i="4"/>
  <c r="AP32" i="4"/>
  <c r="AQ32" i="4"/>
  <c r="AQ30" i="4"/>
  <c r="AP30" i="4"/>
  <c r="AO30" i="4"/>
  <c r="AN30" i="4"/>
  <c r="AL30" i="4"/>
  <c r="AR29" i="2"/>
  <c r="AL29" i="2"/>
  <c r="AS29" i="2"/>
  <c r="AM29" i="2"/>
  <c r="AT29" i="2"/>
  <c r="AN29" i="2"/>
  <c r="AP29" i="2"/>
  <c r="AO29" i="2"/>
  <c r="AQ29" i="2"/>
  <c r="AR30" i="2"/>
  <c r="AL30" i="2"/>
  <c r="AS30" i="2"/>
  <c r="AM30" i="2"/>
  <c r="AT30" i="2"/>
  <c r="AN30" i="2"/>
  <c r="AP30" i="2"/>
  <c r="AO30" i="2"/>
  <c r="AQ30" i="2"/>
  <c r="AT28" i="2"/>
  <c r="AS28" i="2"/>
  <c r="AM28" i="2"/>
  <c r="AR28" i="2"/>
  <c r="AL28" i="2"/>
  <c r="AQ28" i="2"/>
  <c r="AP28" i="2"/>
  <c r="AO28" i="2"/>
  <c r="AN28" i="2"/>
  <c r="O33" i="4"/>
  <c r="AO33" i="4"/>
  <c r="P33" i="4"/>
  <c r="AH32" i="2"/>
  <c r="AE32" i="2"/>
  <c r="AB32" i="2"/>
  <c r="AA32" i="2"/>
  <c r="AF32" i="2"/>
  <c r="AC32" i="2"/>
  <c r="Z32" i="2"/>
  <c r="T33" i="2"/>
  <c r="Q33" i="2"/>
  <c r="N33" i="2"/>
  <c r="T32" i="2"/>
  <c r="Q32" i="2"/>
  <c r="W32" i="2"/>
  <c r="X32" i="2"/>
  <c r="N32" i="2"/>
  <c r="P32" i="2"/>
  <c r="T31" i="2"/>
  <c r="U31" i="2"/>
  <c r="Q31" i="2"/>
  <c r="N31" i="2"/>
  <c r="P31" i="2"/>
  <c r="V31" i="2"/>
  <c r="AT31" i="2"/>
  <c r="S31" i="2"/>
  <c r="AS31" i="2"/>
  <c r="J32" i="2"/>
  <c r="G32" i="2"/>
  <c r="D32" i="2"/>
  <c r="H32" i="2"/>
  <c r="E32" i="2"/>
  <c r="S32" i="2"/>
  <c r="B32" i="2"/>
  <c r="AH34" i="4"/>
  <c r="AG34" i="4"/>
  <c r="AF34" i="4"/>
  <c r="AE34" i="4"/>
  <c r="AK34" i="4"/>
  <c r="AD34" i="4"/>
  <c r="AB34" i="4"/>
  <c r="AA34" i="4"/>
  <c r="J34" i="4"/>
  <c r="I34" i="4"/>
  <c r="G34" i="4"/>
  <c r="F34" i="4"/>
  <c r="D34" i="4"/>
  <c r="C34" i="4"/>
  <c r="J35" i="4"/>
  <c r="I35" i="4"/>
  <c r="G35" i="4"/>
  <c r="F35" i="4"/>
  <c r="D35" i="4"/>
  <c r="C35" i="4"/>
  <c r="AA35" i="4"/>
  <c r="AB35" i="4"/>
  <c r="AD35" i="4"/>
  <c r="AG35" i="4"/>
  <c r="AE35" i="4"/>
  <c r="AC35" i="4"/>
  <c r="AH35" i="4"/>
  <c r="AH33" i="2"/>
  <c r="AE33" i="2"/>
  <c r="AK33" i="2"/>
  <c r="AB33" i="2"/>
  <c r="AF33" i="2"/>
  <c r="AC33" i="2"/>
  <c r="Z33" i="2"/>
  <c r="J33" i="2"/>
  <c r="H33" i="2"/>
  <c r="I33" i="2"/>
  <c r="G33" i="2"/>
  <c r="E33" i="2"/>
  <c r="K33" i="2"/>
  <c r="D33" i="2"/>
  <c r="B33" i="2"/>
  <c r="AH34" i="2"/>
  <c r="AF34" i="2"/>
  <c r="AE34" i="2"/>
  <c r="AC34" i="2"/>
  <c r="AB34" i="2"/>
  <c r="Z34" i="2"/>
  <c r="AI34" i="2"/>
  <c r="AG36" i="4"/>
  <c r="AD36" i="4"/>
  <c r="AH36" i="4"/>
  <c r="AE36" i="4"/>
  <c r="AK36" i="4"/>
  <c r="V32" i="2"/>
  <c r="V33" i="2"/>
  <c r="V34" i="2"/>
  <c r="T34" i="2"/>
  <c r="W34" i="2"/>
  <c r="S33" i="2"/>
  <c r="S34" i="2"/>
  <c r="Q34" i="2"/>
  <c r="N34" i="2"/>
  <c r="P34" i="2"/>
  <c r="AA36" i="4"/>
  <c r="AB36" i="4"/>
  <c r="I36" i="4"/>
  <c r="J36" i="4"/>
  <c r="M36" i="4"/>
  <c r="G36" i="4"/>
  <c r="D36" i="4"/>
  <c r="J37" i="4"/>
  <c r="G37" i="4"/>
  <c r="M37" i="4"/>
  <c r="D37" i="4"/>
  <c r="C37" i="4"/>
  <c r="F37" i="4"/>
  <c r="I37" i="4"/>
  <c r="H37" i="4"/>
  <c r="AD37" i="4"/>
  <c r="R37" i="4"/>
  <c r="S37" i="4"/>
  <c r="Q37" i="4"/>
  <c r="AE37" i="4"/>
  <c r="AC37" i="4"/>
  <c r="F36" i="4"/>
  <c r="C36" i="4"/>
  <c r="U37" i="4"/>
  <c r="V37" i="4"/>
  <c r="U36" i="4"/>
  <c r="V36" i="4"/>
  <c r="V35" i="4"/>
  <c r="U35" i="4"/>
  <c r="V34" i="4"/>
  <c r="U34" i="4"/>
  <c r="V33" i="4"/>
  <c r="U33" i="4"/>
  <c r="S33" i="4"/>
  <c r="S34" i="4"/>
  <c r="R34" i="4"/>
  <c r="S35" i="4"/>
  <c r="S36" i="4"/>
  <c r="Q36" i="4"/>
  <c r="R36" i="4"/>
  <c r="R35" i="4"/>
  <c r="Q35" i="4"/>
  <c r="R33" i="4"/>
  <c r="AP33" i="4"/>
  <c r="P37" i="4"/>
  <c r="O37" i="4"/>
  <c r="AA37" i="4"/>
  <c r="AO37" i="4"/>
  <c r="AB37" i="4"/>
  <c r="AK37" i="4"/>
  <c r="P36" i="4"/>
  <c r="O36" i="4"/>
  <c r="E54" i="4"/>
  <c r="O35" i="4"/>
  <c r="W35" i="4"/>
  <c r="E57" i="4"/>
  <c r="P35" i="4"/>
  <c r="P34" i="4"/>
  <c r="O34" i="4"/>
  <c r="P38" i="4"/>
  <c r="M34" i="2"/>
  <c r="K34" i="2"/>
  <c r="L34" i="2"/>
  <c r="I34" i="2"/>
  <c r="F34" i="2"/>
  <c r="C34" i="2"/>
  <c r="S40" i="4"/>
  <c r="R40" i="4"/>
  <c r="AD40" i="4"/>
  <c r="AE40" i="4"/>
  <c r="AH37" i="4"/>
  <c r="AG37" i="4"/>
  <c r="AF37" i="4"/>
  <c r="AG38" i="4"/>
  <c r="AH38" i="4"/>
  <c r="AK38" i="4"/>
  <c r="AJ38" i="4"/>
  <c r="AD38" i="4"/>
  <c r="AC38" i="4"/>
  <c r="H38" i="4"/>
  <c r="E38" i="4"/>
  <c r="B39" i="4"/>
  <c r="B38" i="4"/>
  <c r="O38" i="4"/>
  <c r="AO38" i="4"/>
  <c r="S38" i="4"/>
  <c r="AB38" i="4"/>
  <c r="AA38" i="4"/>
  <c r="V38" i="4"/>
  <c r="M38" i="4"/>
  <c r="U38" i="4"/>
  <c r="R38" i="4"/>
  <c r="K38" i="4"/>
  <c r="R35" i="2"/>
  <c r="U35" i="2"/>
  <c r="P35" i="2"/>
  <c r="AR35" i="2"/>
  <c r="N35" i="2"/>
  <c r="AK35" i="2"/>
  <c r="AI35" i="2"/>
  <c r="AA35" i="2"/>
  <c r="AT35" i="2"/>
  <c r="AN35" i="2"/>
  <c r="AS35" i="2"/>
  <c r="AM35" i="2"/>
  <c r="AG35" i="2"/>
  <c r="AD35" i="2"/>
  <c r="M35" i="2"/>
  <c r="K35" i="2"/>
  <c r="L35" i="2"/>
  <c r="I35" i="2"/>
  <c r="F35" i="2"/>
  <c r="C35" i="2"/>
  <c r="P40" i="4"/>
  <c r="R39" i="4"/>
  <c r="S39" i="4"/>
  <c r="M36" i="2"/>
  <c r="K36" i="2"/>
  <c r="L36" i="2"/>
  <c r="I36" i="2"/>
  <c r="F36" i="2"/>
  <c r="C36" i="2"/>
  <c r="AT36" i="2"/>
  <c r="AN36" i="2"/>
  <c r="AS36" i="2"/>
  <c r="AM36" i="2"/>
  <c r="AK36" i="2"/>
  <c r="AI36" i="2"/>
  <c r="AJ36" i="2"/>
  <c r="AG36" i="2"/>
  <c r="AD36" i="2"/>
  <c r="AA36" i="2"/>
  <c r="U36" i="2"/>
  <c r="R36" i="2"/>
  <c r="P36" i="2"/>
  <c r="AR36" i="2"/>
  <c r="N36" i="2"/>
  <c r="Y45" i="4"/>
  <c r="W45" i="4"/>
  <c r="AL45" i="4"/>
  <c r="V39" i="4"/>
  <c r="U39" i="4"/>
  <c r="AQ39" i="4"/>
  <c r="V40" i="4"/>
  <c r="AG40" i="4"/>
  <c r="AF40" i="4"/>
  <c r="U40" i="4"/>
  <c r="AH40" i="4"/>
  <c r="O40" i="4"/>
  <c r="V41" i="4"/>
  <c r="U41" i="4"/>
  <c r="AG41" i="4"/>
  <c r="AH41" i="4"/>
  <c r="V42" i="4"/>
  <c r="U42" i="4"/>
  <c r="V43" i="4"/>
  <c r="U43" i="4"/>
  <c r="O43" i="4"/>
  <c r="R43" i="4"/>
  <c r="V44" i="4"/>
  <c r="T44" i="4"/>
  <c r="U44" i="4"/>
  <c r="T45" i="4"/>
  <c r="AD39" i="4"/>
  <c r="AE39" i="4"/>
  <c r="S41" i="4"/>
  <c r="R41" i="4"/>
  <c r="AD41" i="4"/>
  <c r="AE41" i="4"/>
  <c r="S42" i="4"/>
  <c r="R42" i="4"/>
  <c r="S43" i="4"/>
  <c r="P43" i="4"/>
  <c r="AH43" i="4"/>
  <c r="AK43" i="4"/>
  <c r="AE43" i="4"/>
  <c r="AB43" i="4"/>
  <c r="M43" i="4"/>
  <c r="AD43" i="4"/>
  <c r="S44" i="4"/>
  <c r="R44" i="4"/>
  <c r="O44" i="4"/>
  <c r="AG44" i="4"/>
  <c r="AF44" i="4"/>
  <c r="AD44" i="4"/>
  <c r="AC44" i="4"/>
  <c r="AA44" i="4"/>
  <c r="K44" i="4"/>
  <c r="AH44" i="4"/>
  <c r="AE44" i="4"/>
  <c r="AB44" i="4"/>
  <c r="AK44" i="4"/>
  <c r="P44" i="4"/>
  <c r="N44" i="4"/>
  <c r="M44" i="4"/>
  <c r="Q45" i="4"/>
  <c r="P39" i="4"/>
  <c r="Y39" i="4"/>
  <c r="O39" i="4"/>
  <c r="AA39" i="4"/>
  <c r="AB39" i="4"/>
  <c r="AA40" i="4"/>
  <c r="Z40" i="4"/>
  <c r="AB40" i="4"/>
  <c r="P41" i="4"/>
  <c r="O41" i="4"/>
  <c r="AB41" i="4"/>
  <c r="Z41" i="4"/>
  <c r="P42" i="4"/>
  <c r="AA43" i="4"/>
  <c r="C43" i="4"/>
  <c r="AA42" i="4"/>
  <c r="AO42" i="4"/>
  <c r="AB42" i="4"/>
  <c r="O42" i="4"/>
  <c r="N45" i="4"/>
  <c r="P42" i="2"/>
  <c r="N40" i="2"/>
  <c r="AP40" i="2"/>
  <c r="AO40" i="2"/>
  <c r="W40" i="2"/>
  <c r="N37" i="2"/>
  <c r="W37" i="2"/>
  <c r="X37" i="2"/>
  <c r="P37" i="2"/>
  <c r="Y37" i="2"/>
  <c r="U42" i="2"/>
  <c r="U41" i="2"/>
  <c r="U40" i="2"/>
  <c r="U39" i="2"/>
  <c r="U38" i="2"/>
  <c r="U37" i="2"/>
  <c r="R42" i="2"/>
  <c r="R41" i="2"/>
  <c r="R40" i="2"/>
  <c r="R39" i="2"/>
  <c r="R38" i="2"/>
  <c r="R37" i="2"/>
  <c r="P38" i="2"/>
  <c r="N38" i="2"/>
  <c r="P39" i="2"/>
  <c r="N39" i="2"/>
  <c r="P40" i="2"/>
  <c r="AR40" i="2"/>
  <c r="AL40" i="2"/>
  <c r="N42" i="2"/>
  <c r="O40" i="2"/>
  <c r="P41" i="2"/>
  <c r="Y41" i="2"/>
  <c r="N41" i="2"/>
  <c r="AL41" i="2"/>
  <c r="W42" i="2"/>
  <c r="AG43" i="4"/>
  <c r="AA41" i="2"/>
  <c r="AA40" i="2"/>
  <c r="AA39" i="2"/>
  <c r="AA38" i="2"/>
  <c r="AA37" i="2"/>
  <c r="AG41" i="2"/>
  <c r="AG40" i="2"/>
  <c r="AG39" i="2"/>
  <c r="AG38" i="2"/>
  <c r="AG37" i="2"/>
  <c r="AD41" i="2"/>
  <c r="AD40" i="2"/>
  <c r="AD39" i="2"/>
  <c r="AD38" i="2"/>
  <c r="AD37" i="2"/>
  <c r="AQ45" i="4"/>
  <c r="AP45" i="4"/>
  <c r="AO45" i="4"/>
  <c r="M45" i="4"/>
  <c r="AT42" i="2"/>
  <c r="AN42" i="2"/>
  <c r="AS42" i="2"/>
  <c r="AM42" i="2"/>
  <c r="AP42" i="2"/>
  <c r="AT41" i="2"/>
  <c r="AN41" i="2"/>
  <c r="AS41" i="2"/>
  <c r="AM41" i="2"/>
  <c r="AR41" i="2"/>
  <c r="AQ41" i="2"/>
  <c r="AT40" i="2"/>
  <c r="AN40" i="2"/>
  <c r="AS40" i="2"/>
  <c r="AM40" i="2"/>
  <c r="AQ40" i="2"/>
  <c r="AT39" i="2"/>
  <c r="AN39" i="2"/>
  <c r="AS39" i="2"/>
  <c r="AM39" i="2"/>
  <c r="AT38" i="2"/>
  <c r="AN38" i="2"/>
  <c r="AS38" i="2"/>
  <c r="AM38" i="2"/>
  <c r="AT37" i="2"/>
  <c r="AN37" i="2"/>
  <c r="AS37" i="2"/>
  <c r="AM37" i="2"/>
  <c r="AR37" i="2"/>
  <c r="AL37" i="2"/>
  <c r="AQ37" i="2"/>
  <c r="AP37" i="2"/>
  <c r="AO37" i="2"/>
  <c r="I41" i="2"/>
  <c r="I40" i="2"/>
  <c r="I39" i="2"/>
  <c r="I38" i="2"/>
  <c r="I37" i="2"/>
  <c r="F41" i="2"/>
  <c r="F40" i="2"/>
  <c r="F39" i="2"/>
  <c r="F38" i="2"/>
  <c r="F37" i="2"/>
  <c r="C41" i="2"/>
  <c r="C40" i="2"/>
  <c r="C39" i="2"/>
  <c r="C38" i="2"/>
  <c r="C37" i="2"/>
  <c r="K45" i="4"/>
  <c r="M39" i="4"/>
  <c r="K39" i="4"/>
  <c r="K40" i="4"/>
  <c r="M40" i="4"/>
  <c r="K41" i="4"/>
  <c r="M41" i="4"/>
  <c r="K42" i="4"/>
  <c r="M42" i="4"/>
  <c r="AK42" i="2"/>
  <c r="AI42" i="2"/>
  <c r="AJ42" i="2"/>
  <c r="AK41" i="2"/>
  <c r="AI41" i="2"/>
  <c r="AJ41" i="2"/>
  <c r="AK40" i="2"/>
  <c r="AI40" i="2"/>
  <c r="AJ40" i="2"/>
  <c r="AK39" i="2"/>
  <c r="AI39" i="2"/>
  <c r="AJ39" i="2"/>
  <c r="AK38" i="2"/>
  <c r="AI38" i="2"/>
  <c r="AJ38" i="2"/>
  <c r="AK37" i="2"/>
  <c r="AJ37" i="2"/>
  <c r="AI37" i="2"/>
  <c r="M41" i="2"/>
  <c r="M40" i="2"/>
  <c r="M39" i="2"/>
  <c r="K39" i="2"/>
  <c r="L39" i="2"/>
  <c r="M38" i="2"/>
  <c r="M37" i="2"/>
  <c r="K41" i="2"/>
  <c r="L41" i="2"/>
  <c r="K40" i="2"/>
  <c r="L40" i="2"/>
  <c r="K38" i="2"/>
  <c r="L38" i="2"/>
  <c r="K37" i="2"/>
  <c r="L37" i="2"/>
  <c r="AH42" i="4"/>
  <c r="AE42" i="4"/>
  <c r="AG42" i="4"/>
  <c r="AQ42" i="4"/>
  <c r="AD42" i="4"/>
  <c r="AC42" i="4"/>
  <c r="AK40" i="4"/>
  <c r="AH39" i="4"/>
  <c r="AG39" i="4"/>
  <c r="AC41" i="4"/>
  <c r="H44" i="4"/>
  <c r="H43" i="4"/>
  <c r="H42" i="4"/>
  <c r="H41" i="4"/>
  <c r="H40" i="4"/>
  <c r="H39" i="4"/>
  <c r="E44" i="4"/>
  <c r="E43" i="4"/>
  <c r="E42" i="4"/>
  <c r="E41" i="4"/>
  <c r="E40" i="4"/>
  <c r="E39" i="4"/>
  <c r="B44" i="4"/>
  <c r="B42" i="4"/>
  <c r="B41" i="4"/>
  <c r="B40" i="4"/>
  <c r="AG42" i="2"/>
  <c r="AD42" i="2"/>
  <c r="AA42" i="2"/>
  <c r="M42" i="2"/>
  <c r="K42" i="2"/>
  <c r="L42" i="2"/>
  <c r="I42" i="2"/>
  <c r="F42" i="2"/>
  <c r="C42" i="2"/>
  <c r="AI43" i="2"/>
  <c r="AJ43" i="2"/>
  <c r="AK43" i="2"/>
  <c r="AP43" i="2"/>
  <c r="AO43" i="2"/>
  <c r="AQ43" i="2"/>
  <c r="AR43" i="2"/>
  <c r="AL43" i="2"/>
  <c r="AS43" i="2"/>
  <c r="AM43" i="2"/>
  <c r="AT43" i="2"/>
  <c r="AN43" i="2"/>
  <c r="AI44" i="2"/>
  <c r="AK44" i="2"/>
  <c r="AJ44" i="2"/>
  <c r="AP44" i="2"/>
  <c r="AO44" i="2"/>
  <c r="AQ44" i="2"/>
  <c r="AR44" i="2"/>
  <c r="AL44" i="2"/>
  <c r="AS44" i="2"/>
  <c r="AM44" i="2"/>
  <c r="AT44" i="2"/>
  <c r="AN44" i="2"/>
  <c r="AG43" i="2"/>
  <c r="AG44" i="2"/>
  <c r="AD43" i="2"/>
  <c r="AD44" i="2"/>
  <c r="AA43" i="2"/>
  <c r="AA44" i="2"/>
  <c r="W43" i="2"/>
  <c r="X43" i="2"/>
  <c r="Y43" i="2"/>
  <c r="W44" i="2"/>
  <c r="Y44" i="2"/>
  <c r="U43" i="2"/>
  <c r="U44" i="2"/>
  <c r="R43" i="2"/>
  <c r="R44" i="2"/>
  <c r="O43" i="2"/>
  <c r="O44" i="2"/>
  <c r="K43" i="2"/>
  <c r="L43" i="2"/>
  <c r="M43" i="2"/>
  <c r="K44" i="2"/>
  <c r="M44" i="2"/>
  <c r="I43" i="2"/>
  <c r="I44" i="2"/>
  <c r="F43" i="2"/>
  <c r="F44" i="2"/>
  <c r="C43" i="2"/>
  <c r="C44" i="2"/>
  <c r="AI46" i="4"/>
  <c r="AK46" i="4"/>
  <c r="AN46" i="4"/>
  <c r="Y46" i="4"/>
  <c r="X46" i="4"/>
  <c r="M46" i="4"/>
  <c r="W46" i="4"/>
  <c r="K46" i="4"/>
  <c r="AO46" i="4"/>
  <c r="AP46" i="4"/>
  <c r="AQ46" i="4"/>
  <c r="AF46" i="4"/>
  <c r="AC46" i="4"/>
  <c r="Z46" i="4"/>
  <c r="T46" i="4"/>
  <c r="Q46" i="4"/>
  <c r="N46" i="4"/>
  <c r="H46" i="4"/>
  <c r="E46" i="4"/>
  <c r="B46" i="4"/>
  <c r="AI47" i="4"/>
  <c r="AJ47" i="4"/>
  <c r="AK47" i="4"/>
  <c r="AO47" i="4"/>
  <c r="AP47" i="4"/>
  <c r="AQ47" i="4"/>
  <c r="AF47" i="4"/>
  <c r="AC47" i="4"/>
  <c r="Z47" i="4"/>
  <c r="W47" i="4"/>
  <c r="Y47" i="4"/>
  <c r="T47" i="4"/>
  <c r="Q47" i="4"/>
  <c r="N47" i="4"/>
  <c r="K47" i="4"/>
  <c r="L47" i="4"/>
  <c r="M47" i="4"/>
  <c r="H47" i="4"/>
  <c r="E47" i="4"/>
  <c r="B47" i="4"/>
  <c r="AP45" i="2"/>
  <c r="AQ45" i="2"/>
  <c r="AR45" i="2"/>
  <c r="AL45" i="2"/>
  <c r="AS45" i="2"/>
  <c r="AM45" i="2"/>
  <c r="AT45" i="2"/>
  <c r="AN45" i="2"/>
  <c r="AI45" i="2"/>
  <c r="AK45" i="2"/>
  <c r="AG45" i="2"/>
  <c r="AD45" i="2"/>
  <c r="AA45" i="2"/>
  <c r="W45" i="2"/>
  <c r="Y45" i="2"/>
  <c r="U45" i="2"/>
  <c r="R45" i="2"/>
  <c r="O45" i="2"/>
  <c r="K45" i="2"/>
  <c r="M45" i="2"/>
  <c r="I45" i="2"/>
  <c r="F45" i="2"/>
  <c r="C45" i="2"/>
  <c r="AI46" i="2"/>
  <c r="AJ46" i="2"/>
  <c r="AK46" i="2"/>
  <c r="AP46" i="2"/>
  <c r="AQ46" i="2"/>
  <c r="AR46" i="2"/>
  <c r="AL46" i="2"/>
  <c r="AS46" i="2"/>
  <c r="AM46" i="2"/>
  <c r="AT46" i="2"/>
  <c r="AN46" i="2"/>
  <c r="AI47" i="2"/>
  <c r="AJ47" i="2"/>
  <c r="AK47" i="2"/>
  <c r="AP47" i="2"/>
  <c r="AQ47" i="2"/>
  <c r="AR47" i="2"/>
  <c r="AL47" i="2"/>
  <c r="AS47" i="2"/>
  <c r="AM47" i="2"/>
  <c r="AT47" i="2"/>
  <c r="AN47" i="2"/>
  <c r="AG46" i="2"/>
  <c r="AG47" i="2"/>
  <c r="AD46" i="2"/>
  <c r="AD47" i="2"/>
  <c r="AA46" i="2"/>
  <c r="AA47" i="2"/>
  <c r="W46" i="2"/>
  <c r="Y46" i="2"/>
  <c r="W47" i="2"/>
  <c r="Y47" i="2"/>
  <c r="U46" i="2"/>
  <c r="U47" i="2"/>
  <c r="R46" i="2"/>
  <c r="R47" i="2"/>
  <c r="O46" i="2"/>
  <c r="O47" i="2"/>
  <c r="K46" i="2"/>
  <c r="L46" i="2"/>
  <c r="M46" i="2"/>
  <c r="K47" i="2"/>
  <c r="M47" i="2"/>
  <c r="I46" i="2"/>
  <c r="I47" i="2"/>
  <c r="F46" i="2"/>
  <c r="F47" i="2"/>
  <c r="C46" i="2"/>
  <c r="C47" i="2"/>
  <c r="AO48" i="4"/>
  <c r="AP48" i="4"/>
  <c r="AQ48" i="4"/>
  <c r="AO49" i="4"/>
  <c r="AP49" i="4"/>
  <c r="AQ49" i="4"/>
  <c r="AI48" i="4"/>
  <c r="AL48" i="4"/>
  <c r="W48" i="4"/>
  <c r="X48" i="4"/>
  <c r="K48" i="4"/>
  <c r="AK48" i="4"/>
  <c r="AN48" i="4"/>
  <c r="Y48" i="4"/>
  <c r="M48" i="4"/>
  <c r="AI49" i="4"/>
  <c r="AK49" i="4"/>
  <c r="Y49" i="4"/>
  <c r="M49" i="4"/>
  <c r="W49" i="4"/>
  <c r="K49" i="4"/>
  <c r="AL49" i="4"/>
  <c r="AM49" i="4"/>
  <c r="AF48" i="4"/>
  <c r="AF49" i="4"/>
  <c r="AC48" i="4"/>
  <c r="AC49" i="4"/>
  <c r="Z48" i="4"/>
  <c r="Z49" i="4"/>
  <c r="T48" i="4"/>
  <c r="T49" i="4"/>
  <c r="Q48" i="4"/>
  <c r="Q49" i="4"/>
  <c r="N48" i="4"/>
  <c r="N49" i="4"/>
  <c r="H48" i="4"/>
  <c r="H49" i="4"/>
  <c r="E48" i="4"/>
  <c r="E49" i="4"/>
  <c r="B48" i="4"/>
  <c r="B49" i="4"/>
  <c r="AI50" i="4"/>
  <c r="AK50" i="4"/>
  <c r="AN50" i="4"/>
  <c r="Y50" i="4"/>
  <c r="M50" i="4"/>
  <c r="W50" i="4"/>
  <c r="K50" i="4"/>
  <c r="AL50" i="4"/>
  <c r="AM50" i="4"/>
  <c r="AO50" i="4"/>
  <c r="AP50" i="4"/>
  <c r="AQ50" i="4"/>
  <c r="AF50" i="4"/>
  <c r="AC50" i="4"/>
  <c r="Z50" i="4"/>
  <c r="T50" i="4"/>
  <c r="Q50" i="4"/>
  <c r="N50" i="4"/>
  <c r="H50" i="4"/>
  <c r="E50" i="4"/>
  <c r="B50" i="4"/>
  <c r="AI48" i="2"/>
  <c r="AJ48" i="2"/>
  <c r="AK48" i="2"/>
  <c r="AP48" i="2"/>
  <c r="AO48" i="2"/>
  <c r="AQ48" i="2"/>
  <c r="AR48" i="2"/>
  <c r="AL48" i="2"/>
  <c r="AS48" i="2"/>
  <c r="AM48" i="2"/>
  <c r="AT48" i="2"/>
  <c r="AN48" i="2"/>
  <c r="AG48" i="2"/>
  <c r="AD48" i="2"/>
  <c r="AA48" i="2"/>
  <c r="W48" i="2"/>
  <c r="X48" i="2"/>
  <c r="Y48" i="2"/>
  <c r="U48" i="2"/>
  <c r="R48" i="2"/>
  <c r="O48" i="2"/>
  <c r="K48" i="2"/>
  <c r="M48" i="2"/>
  <c r="I48" i="2"/>
  <c r="F48" i="2"/>
  <c r="C48" i="2"/>
  <c r="AP49" i="2"/>
  <c r="AO49" i="2"/>
  <c r="AQ49" i="2"/>
  <c r="AR49" i="2"/>
  <c r="AL49" i="2"/>
  <c r="AS49" i="2"/>
  <c r="AM49" i="2"/>
  <c r="AT49" i="2"/>
  <c r="AN49" i="2"/>
  <c r="AI49" i="2"/>
  <c r="AK49" i="2"/>
  <c r="AG49" i="2"/>
  <c r="AD49" i="2"/>
  <c r="AA49" i="2"/>
  <c r="W49" i="2"/>
  <c r="Y49" i="2"/>
  <c r="X49" i="2"/>
  <c r="U49" i="2"/>
  <c r="R49" i="2"/>
  <c r="O49" i="2"/>
  <c r="K49" i="2"/>
  <c r="L49" i="2"/>
  <c r="M49" i="2"/>
  <c r="I49" i="2"/>
  <c r="F49" i="2"/>
  <c r="C49" i="2"/>
  <c r="AO51" i="4"/>
  <c r="AP51" i="4"/>
  <c r="AQ51" i="4"/>
  <c r="AI51" i="4"/>
  <c r="AJ51" i="4"/>
  <c r="AK51" i="4"/>
  <c r="Y51" i="4"/>
  <c r="M51" i="4"/>
  <c r="W51" i="4"/>
  <c r="X51" i="4"/>
  <c r="K51" i="4"/>
  <c r="AF51" i="4"/>
  <c r="AC51" i="4"/>
  <c r="Z51" i="4"/>
  <c r="T51" i="4"/>
  <c r="Q51" i="4"/>
  <c r="N51" i="4"/>
  <c r="H51" i="4"/>
  <c r="E51" i="4"/>
  <c r="B51" i="4"/>
  <c r="AP50" i="2"/>
  <c r="AQ50" i="2"/>
  <c r="AR50" i="2"/>
  <c r="AL50" i="2"/>
  <c r="AS50" i="2"/>
  <c r="AM50" i="2"/>
  <c r="AT50" i="2"/>
  <c r="AN50" i="2"/>
  <c r="AI50" i="2"/>
  <c r="AK50" i="2"/>
  <c r="AG50" i="2"/>
  <c r="AD50" i="2"/>
  <c r="AA50" i="2"/>
  <c r="W50" i="2"/>
  <c r="X50" i="2"/>
  <c r="Y50" i="2"/>
  <c r="U50" i="2"/>
  <c r="R50" i="2"/>
  <c r="O50" i="2"/>
  <c r="K50" i="2"/>
  <c r="M50" i="2"/>
  <c r="I50" i="2"/>
  <c r="F50" i="2"/>
  <c r="C50" i="2"/>
  <c r="AI52" i="4"/>
  <c r="AJ52" i="4"/>
  <c r="AK52" i="4"/>
  <c r="AO52" i="4"/>
  <c r="AP52" i="4"/>
  <c r="AQ52" i="4"/>
  <c r="AF52" i="4"/>
  <c r="AC52" i="4"/>
  <c r="Z52" i="4"/>
  <c r="W52" i="4"/>
  <c r="Y52" i="4"/>
  <c r="X52" i="4"/>
  <c r="T52" i="4"/>
  <c r="Q52" i="4"/>
  <c r="N52" i="4"/>
  <c r="K52" i="4"/>
  <c r="M52" i="4"/>
  <c r="AN52" i="4"/>
  <c r="H52" i="4"/>
  <c r="E52" i="4"/>
  <c r="B52" i="4"/>
  <c r="AI53" i="4"/>
  <c r="AK53" i="4"/>
  <c r="AO53" i="4"/>
  <c r="AP53" i="4"/>
  <c r="AQ53" i="4"/>
  <c r="AF53" i="4"/>
  <c r="AC53" i="4"/>
  <c r="Z53" i="4"/>
  <c r="W53" i="4"/>
  <c r="X53" i="4"/>
  <c r="Y53" i="4"/>
  <c r="M53" i="4"/>
  <c r="T53" i="4"/>
  <c r="Q53" i="4"/>
  <c r="N53" i="4"/>
  <c r="K53" i="4"/>
  <c r="L53" i="4"/>
  <c r="H53" i="4"/>
  <c r="E53" i="4"/>
  <c r="B53" i="4"/>
  <c r="AP51" i="2"/>
  <c r="AQ51" i="2"/>
  <c r="AR51" i="2"/>
  <c r="AL51" i="2"/>
  <c r="AS51" i="2"/>
  <c r="AM51" i="2"/>
  <c r="AT51" i="2"/>
  <c r="AN51" i="2"/>
  <c r="AI51" i="2"/>
  <c r="AK51" i="2"/>
  <c r="AG51" i="2"/>
  <c r="AD51" i="2"/>
  <c r="AA51" i="2"/>
  <c r="W51" i="2"/>
  <c r="X51" i="2"/>
  <c r="Y51" i="2"/>
  <c r="U51" i="2"/>
  <c r="R51" i="2"/>
  <c r="O51" i="2"/>
  <c r="K51" i="2"/>
  <c r="L51" i="2"/>
  <c r="M51" i="2"/>
  <c r="I51" i="2"/>
  <c r="F51" i="2"/>
  <c r="C51" i="2"/>
  <c r="AI52" i="2"/>
  <c r="AK52" i="2"/>
  <c r="AP52" i="2"/>
  <c r="AQ52" i="2"/>
  <c r="AR52" i="2"/>
  <c r="AL52" i="2"/>
  <c r="AS52" i="2"/>
  <c r="AM52" i="2"/>
  <c r="AT52" i="2"/>
  <c r="AN52" i="2"/>
  <c r="AG52" i="2"/>
  <c r="AD52" i="2"/>
  <c r="AA52" i="2"/>
  <c r="W52" i="2"/>
  <c r="Y52" i="2"/>
  <c r="U52" i="2"/>
  <c r="R52" i="2"/>
  <c r="O52" i="2"/>
  <c r="K52" i="2"/>
  <c r="L52" i="2"/>
  <c r="M52" i="2"/>
  <c r="I52" i="2"/>
  <c r="F52" i="2"/>
  <c r="C52" i="2"/>
  <c r="AO54" i="4"/>
  <c r="AP54" i="4"/>
  <c r="AQ54" i="4"/>
  <c r="AI54" i="4"/>
  <c r="AK54" i="4"/>
  <c r="AN54" i="4"/>
  <c r="AM54" i="4"/>
  <c r="AF54" i="4"/>
  <c r="AC54" i="4"/>
  <c r="Z54" i="4"/>
  <c r="W54" i="4"/>
  <c r="K54" i="4"/>
  <c r="AL54" i="4"/>
  <c r="Y54" i="4"/>
  <c r="X54" i="4"/>
  <c r="M54" i="4"/>
  <c r="T54" i="4"/>
  <c r="Q54" i="4"/>
  <c r="N54" i="4"/>
  <c r="H54" i="4"/>
  <c r="B54" i="4"/>
  <c r="AI53" i="2"/>
  <c r="AK53" i="2"/>
  <c r="AP53" i="2"/>
  <c r="AQ53" i="2"/>
  <c r="AR53" i="2"/>
  <c r="AL53" i="2"/>
  <c r="AS53" i="2"/>
  <c r="AM53" i="2"/>
  <c r="AT53" i="2"/>
  <c r="AN53" i="2"/>
  <c r="AG53" i="2"/>
  <c r="AD53" i="2"/>
  <c r="AA53" i="2"/>
  <c r="W53" i="2"/>
  <c r="Y53" i="2"/>
  <c r="U53" i="2"/>
  <c r="R53" i="2"/>
  <c r="O53" i="2"/>
  <c r="K53" i="2"/>
  <c r="M53" i="2"/>
  <c r="I53" i="2"/>
  <c r="F53" i="2"/>
  <c r="C53" i="2"/>
  <c r="AO55" i="4"/>
  <c r="AP55" i="4"/>
  <c r="AQ55" i="4"/>
  <c r="AI55" i="4"/>
  <c r="AJ55" i="4"/>
  <c r="AK55" i="4"/>
  <c r="AF55" i="4"/>
  <c r="AC55" i="4"/>
  <c r="Z55" i="4"/>
  <c r="W55" i="4"/>
  <c r="X55" i="4"/>
  <c r="Y55" i="4"/>
  <c r="T55" i="4"/>
  <c r="Q55" i="4"/>
  <c r="N55" i="4"/>
  <c r="K55" i="4"/>
  <c r="M55" i="4"/>
  <c r="AN55" i="4"/>
  <c r="AM55" i="4"/>
  <c r="H55" i="4"/>
  <c r="E55" i="4"/>
  <c r="B55" i="4"/>
  <c r="AO56" i="4"/>
  <c r="AP56" i="4"/>
  <c r="AQ56" i="4"/>
  <c r="AI56" i="4"/>
  <c r="AK56" i="4"/>
  <c r="AN56" i="4"/>
  <c r="Y56" i="4"/>
  <c r="M56" i="4"/>
  <c r="AF56" i="4"/>
  <c r="AC56" i="4"/>
  <c r="Z56" i="4"/>
  <c r="W56" i="4"/>
  <c r="K56" i="4"/>
  <c r="T56" i="4"/>
  <c r="Q56" i="4"/>
  <c r="N56" i="4"/>
  <c r="H56" i="4"/>
  <c r="E56" i="4"/>
  <c r="B56" i="4"/>
  <c r="AP54" i="2"/>
  <c r="AQ54" i="2"/>
  <c r="AR54" i="2"/>
  <c r="AL54" i="2"/>
  <c r="AS54" i="2"/>
  <c r="AM54" i="2"/>
  <c r="AT54" i="2"/>
  <c r="AN54" i="2"/>
  <c r="AI54" i="2"/>
  <c r="AJ54" i="2"/>
  <c r="AK54" i="2"/>
  <c r="AG54" i="2"/>
  <c r="AD54" i="2"/>
  <c r="AA54" i="2"/>
  <c r="W54" i="2"/>
  <c r="Y54" i="2"/>
  <c r="U54" i="2"/>
  <c r="R54" i="2"/>
  <c r="O54" i="2"/>
  <c r="K54" i="2"/>
  <c r="L54" i="2"/>
  <c r="M54" i="2"/>
  <c r="I54" i="2"/>
  <c r="F54" i="2"/>
  <c r="C54" i="2"/>
  <c r="AP55" i="2"/>
  <c r="AQ55" i="2"/>
  <c r="AR55" i="2"/>
  <c r="AL55" i="2"/>
  <c r="AS55" i="2"/>
  <c r="AM55" i="2"/>
  <c r="AT55" i="2"/>
  <c r="AN55" i="2"/>
  <c r="AI55" i="2"/>
  <c r="AK55" i="2"/>
  <c r="AG55" i="2"/>
  <c r="AD55" i="2"/>
  <c r="AA55" i="2"/>
  <c r="W55" i="2"/>
  <c r="Y55" i="2"/>
  <c r="U55" i="2"/>
  <c r="R55" i="2"/>
  <c r="O55" i="2"/>
  <c r="K55" i="2"/>
  <c r="L55" i="2"/>
  <c r="M55" i="2"/>
  <c r="I55" i="2"/>
  <c r="F55" i="2"/>
  <c r="C55" i="2"/>
  <c r="AO57" i="4"/>
  <c r="AP57" i="4"/>
  <c r="AQ57" i="4"/>
  <c r="AI57" i="4"/>
  <c r="AK57" i="4"/>
  <c r="AF57" i="4"/>
  <c r="AC57" i="4"/>
  <c r="Z57" i="4"/>
  <c r="W57" i="4"/>
  <c r="Y57" i="4"/>
  <c r="AN57" i="4"/>
  <c r="T57" i="4"/>
  <c r="Q57" i="4"/>
  <c r="N57" i="4"/>
  <c r="K57" i="4"/>
  <c r="L57" i="4"/>
  <c r="M57" i="4"/>
  <c r="H57" i="4"/>
  <c r="B57" i="4"/>
  <c r="AI58" i="4"/>
  <c r="AK58" i="4"/>
  <c r="AO58" i="4"/>
  <c r="AP58" i="4"/>
  <c r="AQ58" i="4"/>
  <c r="AF58" i="4"/>
  <c r="AC58" i="4"/>
  <c r="Z58" i="4"/>
  <c r="W58" i="4"/>
  <c r="Y58" i="4"/>
  <c r="T58" i="4"/>
  <c r="Q58" i="4"/>
  <c r="N58" i="4"/>
  <c r="K58" i="4"/>
  <c r="M58" i="4"/>
  <c r="L58" i="4"/>
  <c r="H58" i="4"/>
  <c r="E58" i="4"/>
  <c r="B58" i="4"/>
  <c r="AP56" i="2"/>
  <c r="AQ56" i="2"/>
  <c r="AR56" i="2"/>
  <c r="AL56" i="2"/>
  <c r="AS56" i="2"/>
  <c r="AM56" i="2"/>
  <c r="AT56" i="2"/>
  <c r="AN56" i="2"/>
  <c r="AI56" i="2"/>
  <c r="AK56" i="2"/>
  <c r="AG56" i="2"/>
  <c r="AD56" i="2"/>
  <c r="AA56" i="2"/>
  <c r="W56" i="2"/>
  <c r="Y56" i="2"/>
  <c r="X56" i="2"/>
  <c r="U56" i="2"/>
  <c r="R56" i="2"/>
  <c r="O56" i="2"/>
  <c r="K56" i="2"/>
  <c r="M56" i="2"/>
  <c r="I56" i="2"/>
  <c r="F56" i="2"/>
  <c r="C56" i="2"/>
  <c r="AQ59" i="4"/>
  <c r="AP59" i="4"/>
  <c r="AO59" i="4"/>
  <c r="AI59" i="4"/>
  <c r="AJ59" i="4"/>
  <c r="AK59" i="4"/>
  <c r="Y59" i="4"/>
  <c r="M59" i="4"/>
  <c r="AF59" i="4"/>
  <c r="AC59" i="4"/>
  <c r="Z59" i="4"/>
  <c r="W59" i="4"/>
  <c r="T59" i="4"/>
  <c r="Q59" i="4"/>
  <c r="N59" i="4"/>
  <c r="K59" i="4"/>
  <c r="L59" i="4"/>
  <c r="H59" i="4"/>
  <c r="E59" i="4"/>
  <c r="B59" i="4"/>
  <c r="AP57" i="2"/>
  <c r="AO57" i="2"/>
  <c r="AQ57" i="2"/>
  <c r="AR57" i="2"/>
  <c r="AL57" i="2"/>
  <c r="AS57" i="2"/>
  <c r="AM57" i="2"/>
  <c r="AT57" i="2"/>
  <c r="AN57" i="2"/>
  <c r="AI57" i="2"/>
  <c r="AK57" i="2"/>
  <c r="AJ57" i="2"/>
  <c r="AG57" i="2"/>
  <c r="AD57" i="2"/>
  <c r="AA57" i="2"/>
  <c r="W57" i="2"/>
  <c r="Y57" i="2"/>
  <c r="U57" i="2"/>
  <c r="R57" i="2"/>
  <c r="O57" i="2"/>
  <c r="K57" i="2"/>
  <c r="L57" i="2"/>
  <c r="M57" i="2"/>
  <c r="I57" i="2"/>
  <c r="F57" i="2"/>
  <c r="C57" i="2"/>
  <c r="AI58" i="2"/>
  <c r="AK58" i="2"/>
  <c r="AP58" i="2"/>
  <c r="AO58" i="2"/>
  <c r="AQ58" i="2"/>
  <c r="AR58" i="2"/>
  <c r="AL58" i="2"/>
  <c r="AS58" i="2"/>
  <c r="AM58" i="2"/>
  <c r="AT58" i="2"/>
  <c r="AN58" i="2"/>
  <c r="AG58" i="2"/>
  <c r="AD58" i="2"/>
  <c r="AA58" i="2"/>
  <c r="W58" i="2"/>
  <c r="X58" i="2"/>
  <c r="Y58" i="2"/>
  <c r="U58" i="2"/>
  <c r="R58" i="2"/>
  <c r="O58" i="2"/>
  <c r="K58" i="2"/>
  <c r="M58" i="2"/>
  <c r="I58" i="2"/>
  <c r="F58" i="2"/>
  <c r="C58" i="2"/>
  <c r="AI60" i="4"/>
  <c r="AK60" i="4"/>
  <c r="AO60" i="4"/>
  <c r="AP60" i="4"/>
  <c r="AQ60" i="4"/>
  <c r="AF60" i="4"/>
  <c r="AC60" i="4"/>
  <c r="Z60" i="4"/>
  <c r="W60" i="4"/>
  <c r="K60" i="4"/>
  <c r="Y60" i="4"/>
  <c r="T60" i="4"/>
  <c r="Q60" i="4"/>
  <c r="N60" i="4"/>
  <c r="M60" i="4"/>
  <c r="H60" i="4"/>
  <c r="E60" i="4"/>
  <c r="B60" i="4"/>
  <c r="AT59" i="2"/>
  <c r="AN59" i="2"/>
  <c r="AS59" i="2"/>
  <c r="AM59" i="2"/>
  <c r="AR59" i="2"/>
  <c r="AL59" i="2"/>
  <c r="AQ59" i="2"/>
  <c r="AP59" i="2"/>
  <c r="AK59" i="2"/>
  <c r="AI59" i="2"/>
  <c r="AG59" i="2"/>
  <c r="AD59" i="2"/>
  <c r="AA59" i="2"/>
  <c r="W59" i="2"/>
  <c r="Y59" i="2"/>
  <c r="U59" i="2"/>
  <c r="R59" i="2"/>
  <c r="O59" i="2"/>
  <c r="K59" i="2"/>
  <c r="L59" i="2"/>
  <c r="M59" i="2"/>
  <c r="I59" i="2"/>
  <c r="F59" i="2"/>
  <c r="C59" i="2"/>
  <c r="AO61" i="4"/>
  <c r="AP61" i="4"/>
  <c r="AQ61" i="4"/>
  <c r="AI61" i="4"/>
  <c r="AK61" i="4"/>
  <c r="Y61" i="4"/>
  <c r="AN61" i="4"/>
  <c r="M61" i="4"/>
  <c r="AF61" i="4"/>
  <c r="AC61" i="4"/>
  <c r="Z61" i="4"/>
  <c r="W61" i="4"/>
  <c r="K61" i="4"/>
  <c r="T61" i="4"/>
  <c r="Q61" i="4"/>
  <c r="N61" i="4"/>
  <c r="H61" i="4"/>
  <c r="E61" i="4"/>
  <c r="B61" i="4"/>
  <c r="AI62" i="4"/>
  <c r="AK62" i="4"/>
  <c r="Y62" i="4"/>
  <c r="M62" i="4"/>
  <c r="AN62" i="4"/>
  <c r="AO62" i="4"/>
  <c r="AP62" i="4"/>
  <c r="AQ62" i="4"/>
  <c r="AF62" i="4"/>
  <c r="AC62" i="4"/>
  <c r="Z62" i="4"/>
  <c r="W62" i="4"/>
  <c r="X62" i="4"/>
  <c r="T62" i="4"/>
  <c r="Q62" i="4"/>
  <c r="N62" i="4"/>
  <c r="K62" i="4"/>
  <c r="H62" i="4"/>
  <c r="E62" i="4"/>
  <c r="B62" i="4"/>
  <c r="AP60" i="2"/>
  <c r="AO60" i="2"/>
  <c r="AQ60" i="2"/>
  <c r="AR60" i="2"/>
  <c r="AL60" i="2"/>
  <c r="AS60" i="2"/>
  <c r="AM60" i="2"/>
  <c r="AT60" i="2"/>
  <c r="AN60" i="2"/>
  <c r="AI60" i="2"/>
  <c r="AK60" i="2"/>
  <c r="AG60" i="2"/>
  <c r="AD60" i="2"/>
  <c r="AA60" i="2"/>
  <c r="W60" i="2"/>
  <c r="Y60" i="2"/>
  <c r="X60" i="2"/>
  <c r="U60" i="2"/>
  <c r="R60" i="2"/>
  <c r="O60" i="2"/>
  <c r="K60" i="2"/>
  <c r="M60" i="2"/>
  <c r="I60" i="2"/>
  <c r="F60" i="2"/>
  <c r="C60" i="2"/>
  <c r="AQ63" i="4"/>
  <c r="AP63" i="4"/>
  <c r="AO63" i="4"/>
  <c r="AK63" i="4"/>
  <c r="AI63" i="4"/>
  <c r="AL63" i="4"/>
  <c r="W63" i="4"/>
  <c r="K63" i="4"/>
  <c r="AF63" i="4"/>
  <c r="AC63" i="4"/>
  <c r="Z63" i="4"/>
  <c r="Y63" i="4"/>
  <c r="T63" i="4"/>
  <c r="Q63" i="4"/>
  <c r="N63" i="4"/>
  <c r="M63" i="4"/>
  <c r="H63" i="4"/>
  <c r="E63" i="4"/>
  <c r="B63" i="4"/>
  <c r="B64" i="4"/>
  <c r="E64" i="4"/>
  <c r="H64" i="4"/>
  <c r="K64" i="4"/>
  <c r="M64" i="4"/>
  <c r="AK64" i="4"/>
  <c r="Y64" i="4"/>
  <c r="N64" i="4"/>
  <c r="Q64" i="4"/>
  <c r="T64" i="4"/>
  <c r="W64" i="4"/>
  <c r="X64" i="4"/>
  <c r="Z64" i="4"/>
  <c r="AC64" i="4"/>
  <c r="AF64" i="4"/>
  <c r="AI64" i="4"/>
  <c r="AL64" i="4"/>
  <c r="AM64" i="4"/>
  <c r="AO64" i="4"/>
  <c r="AP64" i="4"/>
  <c r="AQ64" i="4"/>
  <c r="AP61" i="2"/>
  <c r="AO61" i="2"/>
  <c r="AQ61" i="2"/>
  <c r="AR61" i="2"/>
  <c r="AL61" i="2"/>
  <c r="AS61" i="2"/>
  <c r="AM61" i="2"/>
  <c r="AT61" i="2"/>
  <c r="AN61" i="2"/>
  <c r="AI61" i="2"/>
  <c r="AK61" i="2"/>
  <c r="AG61" i="2"/>
  <c r="AD61" i="2"/>
  <c r="AA61" i="2"/>
  <c r="W61" i="2"/>
  <c r="Y61" i="2"/>
  <c r="X61" i="2"/>
  <c r="U61" i="2"/>
  <c r="R61" i="2"/>
  <c r="O61" i="2"/>
  <c r="K61" i="2"/>
  <c r="L61" i="2"/>
  <c r="M61" i="2"/>
  <c r="I61" i="2"/>
  <c r="F61" i="2"/>
  <c r="C61" i="2"/>
  <c r="AP62" i="2"/>
  <c r="AO62" i="2"/>
  <c r="AQ62" i="2"/>
  <c r="AR62" i="2"/>
  <c r="AL62" i="2"/>
  <c r="AS62" i="2"/>
  <c r="AM62" i="2"/>
  <c r="AT62" i="2"/>
  <c r="AN62" i="2"/>
  <c r="AI62" i="2"/>
  <c r="AK62" i="2"/>
  <c r="AG62" i="2"/>
  <c r="AD62" i="2"/>
  <c r="AA62" i="2"/>
  <c r="W62" i="2"/>
  <c r="X62" i="2"/>
  <c r="Y62" i="2"/>
  <c r="U62" i="2"/>
  <c r="R62" i="2"/>
  <c r="O62" i="2"/>
  <c r="K62" i="2"/>
  <c r="M62" i="2"/>
  <c r="I62" i="2"/>
  <c r="F62" i="2"/>
  <c r="C62" i="2"/>
  <c r="AI65" i="4"/>
  <c r="AL65" i="4"/>
  <c r="W65" i="4"/>
  <c r="K65" i="4"/>
  <c r="L65" i="4"/>
  <c r="AK65" i="4"/>
  <c r="Y65" i="4"/>
  <c r="M65" i="4"/>
  <c r="AO65" i="4"/>
  <c r="AP65" i="4"/>
  <c r="AQ65" i="4"/>
  <c r="AF65" i="4"/>
  <c r="AC65" i="4"/>
  <c r="Z65" i="4"/>
  <c r="T65" i="4"/>
  <c r="Q65" i="4"/>
  <c r="N65" i="4"/>
  <c r="H65" i="4"/>
  <c r="E65" i="4"/>
  <c r="B65" i="4"/>
  <c r="AP63" i="2"/>
  <c r="AO63" i="2"/>
  <c r="AQ63" i="2"/>
  <c r="AR63" i="2"/>
  <c r="AL63" i="2"/>
  <c r="AS63" i="2"/>
  <c r="AM63" i="2"/>
  <c r="AT63" i="2"/>
  <c r="AN63" i="2"/>
  <c r="AI63" i="2"/>
  <c r="AK63" i="2"/>
  <c r="AG63" i="2"/>
  <c r="AD63" i="2"/>
  <c r="AA63" i="2"/>
  <c r="W63" i="2"/>
  <c r="Y63" i="2"/>
  <c r="X63" i="2"/>
  <c r="U63" i="2"/>
  <c r="R63" i="2"/>
  <c r="O63" i="2"/>
  <c r="K63" i="2"/>
  <c r="M63" i="2"/>
  <c r="I63" i="2"/>
  <c r="F63" i="2"/>
  <c r="C63" i="2"/>
  <c r="AI66" i="4"/>
  <c r="AK66" i="4"/>
  <c r="AJ66" i="4"/>
  <c r="AO66" i="4"/>
  <c r="AP66" i="4"/>
  <c r="AQ66" i="4"/>
  <c r="AF66" i="4"/>
  <c r="AC66" i="4"/>
  <c r="Z66" i="4"/>
  <c r="W66" i="4"/>
  <c r="Y66" i="4"/>
  <c r="T66" i="4"/>
  <c r="Q66" i="4"/>
  <c r="N66" i="4"/>
  <c r="K66" i="4"/>
  <c r="L66" i="4"/>
  <c r="M66" i="4"/>
  <c r="H66" i="4"/>
  <c r="E66" i="4"/>
  <c r="B66" i="4"/>
  <c r="AP64" i="2"/>
  <c r="AO64" i="2"/>
  <c r="AQ64" i="2"/>
  <c r="AR64" i="2"/>
  <c r="AL64" i="2"/>
  <c r="AS64" i="2"/>
  <c r="AM64" i="2"/>
  <c r="AT64" i="2"/>
  <c r="AN64" i="2"/>
  <c r="AI64" i="2"/>
  <c r="AK64" i="2"/>
  <c r="AG64" i="2"/>
  <c r="AD64" i="2"/>
  <c r="AA64" i="2"/>
  <c r="W64" i="2"/>
  <c r="Y64" i="2"/>
  <c r="U64" i="2"/>
  <c r="R64" i="2"/>
  <c r="O64" i="2"/>
  <c r="K64" i="2"/>
  <c r="L64" i="2"/>
  <c r="M64" i="2"/>
  <c r="I64" i="2"/>
  <c r="F64" i="2"/>
  <c r="C64" i="2"/>
  <c r="AI67" i="4"/>
  <c r="AK67" i="4"/>
  <c r="AN67" i="4"/>
  <c r="AO67" i="4"/>
  <c r="AP67" i="4"/>
  <c r="AQ67" i="4"/>
  <c r="AF67" i="4"/>
  <c r="AC67" i="4"/>
  <c r="Z67" i="4"/>
  <c r="W67" i="4"/>
  <c r="Y67" i="4"/>
  <c r="T67" i="4"/>
  <c r="Q67" i="4"/>
  <c r="N67" i="4"/>
  <c r="K67" i="4"/>
  <c r="L67" i="4"/>
  <c r="M67" i="4"/>
  <c r="H67" i="4"/>
  <c r="E67" i="4"/>
  <c r="B67" i="4"/>
  <c r="AP65" i="2"/>
  <c r="AQ65" i="2"/>
  <c r="AR65" i="2"/>
  <c r="AL65" i="2"/>
  <c r="AS65" i="2"/>
  <c r="AM65" i="2"/>
  <c r="AT65" i="2"/>
  <c r="AN65" i="2"/>
  <c r="AI65" i="2"/>
  <c r="AK65" i="2"/>
  <c r="AG65" i="2"/>
  <c r="AD65" i="2"/>
  <c r="AA65" i="2"/>
  <c r="W65" i="2"/>
  <c r="Y65" i="2"/>
  <c r="U65" i="2"/>
  <c r="R65" i="2"/>
  <c r="O65" i="2"/>
  <c r="K65" i="2"/>
  <c r="M65" i="2"/>
  <c r="I65" i="2"/>
  <c r="F65" i="2"/>
  <c r="C65" i="2"/>
  <c r="AO68" i="4"/>
  <c r="AP68" i="4"/>
  <c r="AQ68" i="4"/>
  <c r="AI68" i="4"/>
  <c r="AJ68" i="4"/>
  <c r="AK68" i="4"/>
  <c r="AN68" i="4"/>
  <c r="AF68" i="4"/>
  <c r="AC68" i="4"/>
  <c r="Z68" i="4"/>
  <c r="W68" i="4"/>
  <c r="X68" i="4"/>
  <c r="Y68" i="4"/>
  <c r="T68" i="4"/>
  <c r="Q68" i="4"/>
  <c r="Q69" i="4"/>
  <c r="N68" i="4"/>
  <c r="K68" i="4"/>
  <c r="M68" i="4"/>
  <c r="H68" i="4"/>
  <c r="E68" i="4"/>
  <c r="B68" i="4"/>
  <c r="AP66" i="2"/>
  <c r="AQ66" i="2"/>
  <c r="AO66" i="2"/>
  <c r="AR66" i="2"/>
  <c r="AL66" i="2"/>
  <c r="AS66" i="2"/>
  <c r="AM66" i="2"/>
  <c r="AT66" i="2"/>
  <c r="AN66" i="2"/>
  <c r="AI66" i="2"/>
  <c r="AK66" i="2"/>
  <c r="AG66" i="2"/>
  <c r="AD66" i="2"/>
  <c r="AA66" i="2"/>
  <c r="W66" i="2"/>
  <c r="Y66" i="2"/>
  <c r="U66" i="2"/>
  <c r="R66" i="2"/>
  <c r="O66" i="2"/>
  <c r="K66" i="2"/>
  <c r="M66" i="2"/>
  <c r="I66" i="2"/>
  <c r="F66" i="2"/>
  <c r="C66" i="2"/>
  <c r="AP67" i="2"/>
  <c r="AQ67" i="2"/>
  <c r="AO67" i="2"/>
  <c r="AR67" i="2"/>
  <c r="AL67" i="2"/>
  <c r="AS67" i="2"/>
  <c r="AM67" i="2"/>
  <c r="AT67" i="2"/>
  <c r="AN67" i="2"/>
  <c r="AI67" i="2"/>
  <c r="AK67" i="2"/>
  <c r="AG67" i="2"/>
  <c r="AD67" i="2"/>
  <c r="AA67" i="2"/>
  <c r="W67" i="2"/>
  <c r="Y67" i="2"/>
  <c r="U67" i="2"/>
  <c r="R67" i="2"/>
  <c r="O67" i="2"/>
  <c r="K67" i="2"/>
  <c r="L67" i="2"/>
  <c r="M67" i="2"/>
  <c r="I67" i="2"/>
  <c r="F67" i="2"/>
  <c r="C67" i="2"/>
  <c r="AO69" i="4"/>
  <c r="AP69" i="4"/>
  <c r="AQ69" i="4"/>
  <c r="AI69" i="4"/>
  <c r="AJ69" i="4"/>
  <c r="AK69" i="4"/>
  <c r="AF69" i="4"/>
  <c r="AC69" i="4"/>
  <c r="Z69" i="4"/>
  <c r="W69" i="4"/>
  <c r="Y69" i="4"/>
  <c r="T69" i="4"/>
  <c r="N69" i="4"/>
  <c r="K69" i="4"/>
  <c r="L69" i="4"/>
  <c r="M69" i="4"/>
  <c r="H69" i="4"/>
  <c r="E69" i="4"/>
  <c r="B69" i="4"/>
  <c r="AP68" i="2"/>
  <c r="AQ68" i="2"/>
  <c r="AR68" i="2"/>
  <c r="AL68" i="2"/>
  <c r="AS68" i="2"/>
  <c r="AM68" i="2"/>
  <c r="AT68" i="2"/>
  <c r="AN68" i="2"/>
  <c r="AI68" i="2"/>
  <c r="AJ68" i="2"/>
  <c r="AK68" i="2"/>
  <c r="AG68" i="2"/>
  <c r="AD68" i="2"/>
  <c r="AA68" i="2"/>
  <c r="W68" i="2"/>
  <c r="Y68" i="2"/>
  <c r="X68" i="2"/>
  <c r="U68" i="2"/>
  <c r="R68" i="2"/>
  <c r="O68" i="2"/>
  <c r="K68" i="2"/>
  <c r="L68" i="2"/>
  <c r="M68" i="2"/>
  <c r="I68" i="2"/>
  <c r="F68" i="2"/>
  <c r="C68" i="2"/>
  <c r="AO70" i="4"/>
  <c r="AP70" i="4"/>
  <c r="AQ70" i="4"/>
  <c r="AI70" i="4"/>
  <c r="W70" i="4"/>
  <c r="K70" i="4"/>
  <c r="L70" i="4"/>
  <c r="AK70" i="4"/>
  <c r="Y70" i="4"/>
  <c r="M70" i="4"/>
  <c r="AF70" i="4"/>
  <c r="AC70" i="4"/>
  <c r="Z70" i="4"/>
  <c r="T70" i="4"/>
  <c r="Q70" i="4"/>
  <c r="N70" i="4"/>
  <c r="H70" i="4"/>
  <c r="E70" i="4"/>
  <c r="B70" i="4"/>
  <c r="AP69" i="2"/>
  <c r="AO69" i="2"/>
  <c r="AQ69" i="2"/>
  <c r="AR69" i="2"/>
  <c r="AL69" i="2"/>
  <c r="AS69" i="2"/>
  <c r="AM69" i="2"/>
  <c r="AT69" i="2"/>
  <c r="AN69" i="2"/>
  <c r="AI69" i="2"/>
  <c r="AK69" i="2"/>
  <c r="AG69" i="2"/>
  <c r="AD69" i="2"/>
  <c r="AA69" i="2"/>
  <c r="W69" i="2"/>
  <c r="Y69" i="2"/>
  <c r="U69" i="2"/>
  <c r="R69" i="2"/>
  <c r="O69" i="2"/>
  <c r="K69" i="2"/>
  <c r="M69" i="2"/>
  <c r="I69" i="2"/>
  <c r="F69" i="2"/>
  <c r="C69" i="2"/>
  <c r="AI71" i="4"/>
  <c r="AK71" i="4"/>
  <c r="AO71" i="4"/>
  <c r="AP71" i="4"/>
  <c r="AQ71" i="4"/>
  <c r="AF71" i="4"/>
  <c r="AC71" i="4"/>
  <c r="Z71" i="4"/>
  <c r="W71" i="4"/>
  <c r="X71" i="4"/>
  <c r="Y71" i="4"/>
  <c r="T71" i="4"/>
  <c r="Q71" i="4"/>
  <c r="N71" i="4"/>
  <c r="K71" i="4"/>
  <c r="L71" i="4"/>
  <c r="M71" i="4"/>
  <c r="H71" i="4"/>
  <c r="E71" i="4"/>
  <c r="B71" i="4"/>
  <c r="AK72" i="4"/>
  <c r="AI72" i="4"/>
  <c r="AF72" i="4"/>
  <c r="AP70" i="2"/>
  <c r="AO70" i="2"/>
  <c r="AQ70" i="2"/>
  <c r="AR70" i="2"/>
  <c r="AL70" i="2"/>
  <c r="AS70" i="2"/>
  <c r="AM70" i="2"/>
  <c r="AT70" i="2"/>
  <c r="AN70" i="2"/>
  <c r="AI70" i="2"/>
  <c r="AJ70" i="2"/>
  <c r="AK70" i="2"/>
  <c r="AG70" i="2"/>
  <c r="AD70" i="2"/>
  <c r="AA70" i="2"/>
  <c r="W70" i="2"/>
  <c r="Y70" i="2"/>
  <c r="U70" i="2"/>
  <c r="R70" i="2"/>
  <c r="O70" i="2"/>
  <c r="K70" i="2"/>
  <c r="L70" i="2"/>
  <c r="M70" i="2"/>
  <c r="I70" i="2"/>
  <c r="F70" i="2"/>
  <c r="C70" i="2"/>
  <c r="AO72" i="4"/>
  <c r="AP72" i="4"/>
  <c r="AQ72" i="4"/>
  <c r="AC72" i="4"/>
  <c r="Z72" i="4"/>
  <c r="W72" i="4"/>
  <c r="AL72" i="4"/>
  <c r="K72" i="4"/>
  <c r="Y72" i="4"/>
  <c r="T72" i="4"/>
  <c r="Q72" i="4"/>
  <c r="N72" i="4"/>
  <c r="M72" i="4"/>
  <c r="L72" i="4"/>
  <c r="H72" i="4"/>
  <c r="E72" i="4"/>
  <c r="B72" i="4"/>
  <c r="AT71" i="2"/>
  <c r="AN71" i="2"/>
  <c r="AP71" i="2"/>
  <c r="AQ71" i="2"/>
  <c r="AR71" i="2"/>
  <c r="AL71" i="2"/>
  <c r="AS71" i="2"/>
  <c r="AM71" i="2"/>
  <c r="AI71" i="2"/>
  <c r="AK71" i="2"/>
  <c r="AG71" i="2"/>
  <c r="AD71" i="2"/>
  <c r="AA71" i="2"/>
  <c r="W71" i="2"/>
  <c r="Y71" i="2"/>
  <c r="U71" i="2"/>
  <c r="R71" i="2"/>
  <c r="O71" i="2"/>
  <c r="K71" i="2"/>
  <c r="M71" i="2"/>
  <c r="I71" i="2"/>
  <c r="F71" i="2"/>
  <c r="C71" i="2"/>
  <c r="AO73" i="4"/>
  <c r="AP73" i="4"/>
  <c r="AQ73" i="4"/>
  <c r="AI73" i="4"/>
  <c r="AK73" i="4"/>
  <c r="AF73" i="4"/>
  <c r="AC73" i="4"/>
  <c r="Z73" i="4"/>
  <c r="W73" i="4"/>
  <c r="Y73" i="4"/>
  <c r="T73" i="4"/>
  <c r="Q73" i="4"/>
  <c r="N73" i="4"/>
  <c r="K73" i="4"/>
  <c r="L73" i="4"/>
  <c r="M73" i="4"/>
  <c r="H73" i="4"/>
  <c r="E73" i="4"/>
  <c r="B73" i="4"/>
  <c r="AP72" i="2"/>
  <c r="AQ72" i="2"/>
  <c r="AR72" i="2"/>
  <c r="AL72" i="2"/>
  <c r="AS72" i="2"/>
  <c r="AM72" i="2"/>
  <c r="AT72" i="2"/>
  <c r="AN72" i="2"/>
  <c r="AI72" i="2"/>
  <c r="AK72" i="2"/>
  <c r="AG72" i="2"/>
  <c r="AD72" i="2"/>
  <c r="AA72" i="2"/>
  <c r="W72" i="2"/>
  <c r="Y72" i="2"/>
  <c r="U72" i="2"/>
  <c r="R72" i="2"/>
  <c r="O72" i="2"/>
  <c r="K72" i="2"/>
  <c r="M72" i="2"/>
  <c r="I72" i="2"/>
  <c r="F72" i="2"/>
  <c r="C72" i="2"/>
  <c r="AO74" i="4"/>
  <c r="AP74" i="4"/>
  <c r="AQ74" i="4"/>
  <c r="AI74" i="4"/>
  <c r="AK74" i="4"/>
  <c r="AN74" i="4"/>
  <c r="AF74" i="4"/>
  <c r="AC74" i="4"/>
  <c r="Z74" i="4"/>
  <c r="W74" i="4"/>
  <c r="X74" i="4"/>
  <c r="Y74" i="4"/>
  <c r="M74" i="4"/>
  <c r="T74" i="4"/>
  <c r="Q74" i="4"/>
  <c r="N74" i="4"/>
  <c r="K74" i="4"/>
  <c r="L74" i="4"/>
  <c r="H74" i="4"/>
  <c r="E74" i="4"/>
  <c r="B74" i="4"/>
  <c r="AO75" i="4"/>
  <c r="AP75" i="4"/>
  <c r="AQ75" i="4"/>
  <c r="AI75" i="4"/>
  <c r="W75" i="4"/>
  <c r="AL75" i="4"/>
  <c r="K75" i="4"/>
  <c r="AK75" i="4"/>
  <c r="Y75" i="4"/>
  <c r="M75" i="4"/>
  <c r="AF75" i="4"/>
  <c r="AC75" i="4"/>
  <c r="Z75" i="4"/>
  <c r="X75" i="4"/>
  <c r="T75" i="4"/>
  <c r="Q75" i="4"/>
  <c r="N75" i="4"/>
  <c r="H75" i="4"/>
  <c r="E75" i="4"/>
  <c r="B75" i="4"/>
  <c r="AR73" i="2"/>
  <c r="AL73" i="2"/>
  <c r="AP73" i="2"/>
  <c r="AO73" i="2"/>
  <c r="AQ73" i="2"/>
  <c r="AS73" i="2"/>
  <c r="AM73" i="2"/>
  <c r="AT73" i="2"/>
  <c r="AN73" i="2"/>
  <c r="AI73" i="2"/>
  <c r="AK73" i="2"/>
  <c r="AG73" i="2"/>
  <c r="AD73" i="2"/>
  <c r="AA73" i="2"/>
  <c r="W73" i="2"/>
  <c r="Y73" i="2"/>
  <c r="X73" i="2"/>
  <c r="U73" i="2"/>
  <c r="R73" i="2"/>
  <c r="O73" i="2"/>
  <c r="K73" i="2"/>
  <c r="L73" i="2"/>
  <c r="M73" i="2"/>
  <c r="I73" i="2"/>
  <c r="F73" i="2"/>
  <c r="C73" i="2"/>
  <c r="AP74" i="2"/>
  <c r="AQ74" i="2"/>
  <c r="AR74" i="2"/>
  <c r="AL74" i="2"/>
  <c r="AS74" i="2"/>
  <c r="AM74" i="2"/>
  <c r="AT74" i="2"/>
  <c r="AN74" i="2"/>
  <c r="AI74" i="2"/>
  <c r="AK74" i="2"/>
  <c r="AG74" i="2"/>
  <c r="AD74" i="2"/>
  <c r="AA74" i="2"/>
  <c r="W74" i="2"/>
  <c r="Y74" i="2"/>
  <c r="U74" i="2"/>
  <c r="R74" i="2"/>
  <c r="O74" i="2"/>
  <c r="K74" i="2"/>
  <c r="L74" i="2"/>
  <c r="M74" i="2"/>
  <c r="I74" i="2"/>
  <c r="F74" i="2"/>
  <c r="C74" i="2"/>
  <c r="AO76" i="4"/>
  <c r="AP76" i="4"/>
  <c r="AQ76" i="4"/>
  <c r="AI76" i="4"/>
  <c r="AK76" i="4"/>
  <c r="AF76" i="4"/>
  <c r="AC76" i="4"/>
  <c r="Z76" i="4"/>
  <c r="W76" i="4"/>
  <c r="X76" i="4"/>
  <c r="Y76" i="4"/>
  <c r="M76" i="4"/>
  <c r="T76" i="4"/>
  <c r="Q76" i="4"/>
  <c r="N76" i="4"/>
  <c r="K76" i="4"/>
  <c r="L76" i="4"/>
  <c r="H76" i="4"/>
  <c r="E76" i="4"/>
  <c r="B76" i="4"/>
  <c r="AI75" i="2"/>
  <c r="AK75" i="2"/>
  <c r="AJ75" i="2"/>
  <c r="AP75" i="2"/>
  <c r="AQ75" i="2"/>
  <c r="AO75" i="2"/>
  <c r="AR75" i="2"/>
  <c r="AL75" i="2"/>
  <c r="AS75" i="2"/>
  <c r="AM75" i="2"/>
  <c r="AT75" i="2"/>
  <c r="AN75" i="2"/>
  <c r="AG75" i="2"/>
  <c r="AD75" i="2"/>
  <c r="AA75" i="2"/>
  <c r="W75" i="2"/>
  <c r="Y75" i="2"/>
  <c r="U75" i="2"/>
  <c r="R75" i="2"/>
  <c r="O75" i="2"/>
  <c r="K75" i="2"/>
  <c r="L75" i="2"/>
  <c r="M75" i="2"/>
  <c r="I75" i="2"/>
  <c r="F75" i="2"/>
  <c r="C75" i="2"/>
  <c r="AI77" i="4"/>
  <c r="AL77" i="4"/>
  <c r="W77" i="4"/>
  <c r="X77" i="4"/>
  <c r="K77" i="4"/>
  <c r="AK77" i="4"/>
  <c r="AO77" i="4"/>
  <c r="AP77" i="4"/>
  <c r="AQ77" i="4"/>
  <c r="AF77" i="4"/>
  <c r="AC77" i="4"/>
  <c r="Z77" i="4"/>
  <c r="Y77" i="4"/>
  <c r="T77" i="4"/>
  <c r="Q77" i="4"/>
  <c r="N77" i="4"/>
  <c r="M77" i="4"/>
  <c r="L77" i="4"/>
  <c r="H77" i="4"/>
  <c r="E77" i="4"/>
  <c r="B77" i="4"/>
  <c r="AI78" i="4"/>
  <c r="W78" i="4"/>
  <c r="X78" i="4"/>
  <c r="K78" i="4"/>
  <c r="AK78" i="4"/>
  <c r="Y78" i="4"/>
  <c r="M78" i="4"/>
  <c r="AO78" i="4"/>
  <c r="AP78" i="4"/>
  <c r="AQ78" i="4"/>
  <c r="AF78" i="4"/>
  <c r="AC78" i="4"/>
  <c r="Z78" i="4"/>
  <c r="T78" i="4"/>
  <c r="Q78" i="4"/>
  <c r="N78" i="4"/>
  <c r="H78" i="4"/>
  <c r="E78" i="4"/>
  <c r="B78" i="4"/>
  <c r="AP76" i="2"/>
  <c r="AO76" i="2"/>
  <c r="AQ76" i="2"/>
  <c r="AR76" i="2"/>
  <c r="AL76" i="2"/>
  <c r="AS76" i="2"/>
  <c r="AM76" i="2"/>
  <c r="AT76" i="2"/>
  <c r="AN76" i="2"/>
  <c r="AI76" i="2"/>
  <c r="AK76" i="2"/>
  <c r="AG76" i="2"/>
  <c r="AD76" i="2"/>
  <c r="AA76" i="2"/>
  <c r="W76" i="2"/>
  <c r="Y76" i="2"/>
  <c r="U76" i="2"/>
  <c r="R76" i="2"/>
  <c r="O76" i="2"/>
  <c r="K76" i="2"/>
  <c r="M76" i="2"/>
  <c r="L76" i="2"/>
  <c r="I76" i="2"/>
  <c r="F76" i="2"/>
  <c r="C76" i="2"/>
  <c r="AI79" i="4"/>
  <c r="AK79" i="4"/>
  <c r="AN79" i="4"/>
  <c r="AO79" i="4"/>
  <c r="AP79" i="4"/>
  <c r="AQ79" i="4"/>
  <c r="AF79" i="4"/>
  <c r="AC79" i="4"/>
  <c r="Z79" i="4"/>
  <c r="W79" i="4"/>
  <c r="Y79" i="4"/>
  <c r="X79" i="4"/>
  <c r="T79" i="4"/>
  <c r="Q79" i="4"/>
  <c r="N79" i="4"/>
  <c r="K79" i="4"/>
  <c r="L79" i="4"/>
  <c r="M79" i="4"/>
  <c r="H79" i="4"/>
  <c r="E79" i="4"/>
  <c r="B79" i="4"/>
  <c r="AP77" i="2"/>
  <c r="AO77" i="2"/>
  <c r="AQ77" i="2"/>
  <c r="AR77" i="2"/>
  <c r="AL77" i="2"/>
  <c r="AS77" i="2"/>
  <c r="AM77" i="2"/>
  <c r="AT77" i="2"/>
  <c r="AN77" i="2"/>
  <c r="AI77" i="2"/>
  <c r="AK77" i="2"/>
  <c r="AG77" i="2"/>
  <c r="AD77" i="2"/>
  <c r="AA77" i="2"/>
  <c r="W77" i="2"/>
  <c r="X77" i="2"/>
  <c r="Y77" i="2"/>
  <c r="U77" i="2"/>
  <c r="R77" i="2"/>
  <c r="O77" i="2"/>
  <c r="K77" i="2"/>
  <c r="M77" i="2"/>
  <c r="I77" i="2"/>
  <c r="F77" i="2"/>
  <c r="C77" i="2"/>
  <c r="AP78" i="2"/>
  <c r="AO78" i="2"/>
  <c r="AQ78" i="2"/>
  <c r="AR78" i="2"/>
  <c r="AL78" i="2"/>
  <c r="AS78" i="2"/>
  <c r="AM78" i="2"/>
  <c r="AT78" i="2"/>
  <c r="AN78" i="2"/>
  <c r="AI78" i="2"/>
  <c r="AK78" i="2"/>
  <c r="AG78" i="2"/>
  <c r="AD78" i="2"/>
  <c r="AA78" i="2"/>
  <c r="W78" i="2"/>
  <c r="Y78" i="2"/>
  <c r="U78" i="2"/>
  <c r="R78" i="2"/>
  <c r="O78" i="2"/>
  <c r="K78" i="2"/>
  <c r="M78" i="2"/>
  <c r="I78" i="2"/>
  <c r="F78" i="2"/>
  <c r="C78" i="2"/>
  <c r="AO80" i="4"/>
  <c r="AP80" i="4"/>
  <c r="AQ80" i="4"/>
  <c r="AI80" i="4"/>
  <c r="AL80" i="4"/>
  <c r="AM80" i="4"/>
  <c r="AK80" i="4"/>
  <c r="AF80" i="4"/>
  <c r="AC80" i="4"/>
  <c r="Z80" i="4"/>
  <c r="W80" i="4"/>
  <c r="Y80" i="4"/>
  <c r="T80" i="4"/>
  <c r="Q80" i="4"/>
  <c r="N80" i="4"/>
  <c r="K80" i="4"/>
  <c r="M80" i="4"/>
  <c r="H80" i="4"/>
  <c r="E80" i="4"/>
  <c r="B80" i="4"/>
  <c r="AI79" i="2"/>
  <c r="AJ79" i="2"/>
  <c r="AK79" i="2"/>
  <c r="AP79" i="2"/>
  <c r="AQ79" i="2"/>
  <c r="AO79" i="2"/>
  <c r="AR79" i="2"/>
  <c r="AL79" i="2"/>
  <c r="AS79" i="2"/>
  <c r="AM79" i="2"/>
  <c r="AT79" i="2"/>
  <c r="AN79" i="2"/>
  <c r="AG79" i="2"/>
  <c r="AD79" i="2"/>
  <c r="AA79" i="2"/>
  <c r="W79" i="2"/>
  <c r="Y79" i="2"/>
  <c r="U79" i="2"/>
  <c r="R79" i="2"/>
  <c r="O79" i="2"/>
  <c r="K79" i="2"/>
  <c r="M79" i="2"/>
  <c r="I79" i="2"/>
  <c r="F79" i="2"/>
  <c r="C79" i="2"/>
  <c r="AI81" i="4"/>
  <c r="AJ81" i="4"/>
  <c r="AK81" i="4"/>
  <c r="AO81" i="4"/>
  <c r="AP81" i="4"/>
  <c r="AQ81" i="4"/>
  <c r="AF81" i="4"/>
  <c r="AC81" i="4"/>
  <c r="W81" i="4"/>
  <c r="Y81" i="4"/>
  <c r="AN81" i="4"/>
  <c r="M81" i="4"/>
  <c r="Z81" i="4"/>
  <c r="T81" i="4"/>
  <c r="Q81" i="4"/>
  <c r="K81" i="4"/>
  <c r="N81" i="4"/>
  <c r="H81" i="4"/>
  <c r="E81" i="4"/>
  <c r="B81" i="4"/>
  <c r="AI80" i="2"/>
  <c r="AJ80" i="2"/>
  <c r="AK80" i="2"/>
  <c r="AP80" i="2"/>
  <c r="AQ80" i="2"/>
  <c r="AR80" i="2"/>
  <c r="AL80" i="2"/>
  <c r="AS80" i="2"/>
  <c r="AM80" i="2"/>
  <c r="AT80" i="2"/>
  <c r="AN80" i="2"/>
  <c r="AG80" i="2"/>
  <c r="AD80" i="2"/>
  <c r="AA80" i="2"/>
  <c r="W80" i="2"/>
  <c r="Y80" i="2"/>
  <c r="U80" i="2"/>
  <c r="R80" i="2"/>
  <c r="O80" i="2"/>
  <c r="K80" i="2"/>
  <c r="L80" i="2"/>
  <c r="M80" i="2"/>
  <c r="I80" i="2"/>
  <c r="F80" i="2"/>
  <c r="C80" i="2"/>
  <c r="AO82" i="4"/>
  <c r="AP82" i="4"/>
  <c r="AQ82" i="4"/>
  <c r="AI82" i="4"/>
  <c r="AK82" i="4"/>
  <c r="AN82" i="4"/>
  <c r="AM82" i="4"/>
  <c r="AF82" i="4"/>
  <c r="AC82" i="4"/>
  <c r="Z82" i="4"/>
  <c r="W82" i="4"/>
  <c r="X82" i="4"/>
  <c r="Y82" i="4"/>
  <c r="T82" i="4"/>
  <c r="Q82" i="4"/>
  <c r="N82" i="4"/>
  <c r="K82" i="4"/>
  <c r="M82" i="4"/>
  <c r="L82" i="4"/>
  <c r="H82" i="4"/>
  <c r="E82" i="4"/>
  <c r="B82" i="4"/>
  <c r="AI81" i="2"/>
  <c r="AJ81" i="2"/>
  <c r="AK81" i="2"/>
  <c r="AP81" i="2"/>
  <c r="AQ81" i="2"/>
  <c r="AR81" i="2"/>
  <c r="AL81" i="2"/>
  <c r="AS81" i="2"/>
  <c r="AM81" i="2"/>
  <c r="AT81" i="2"/>
  <c r="AN81" i="2"/>
  <c r="AG81" i="2"/>
  <c r="AD81" i="2"/>
  <c r="AA81" i="2"/>
  <c r="W81" i="2"/>
  <c r="X81" i="2"/>
  <c r="Y81" i="2"/>
  <c r="U81" i="2"/>
  <c r="R81" i="2"/>
  <c r="O81" i="2"/>
  <c r="K81" i="2"/>
  <c r="L81" i="2"/>
  <c r="M81" i="2"/>
  <c r="I81" i="2"/>
  <c r="F81" i="2"/>
  <c r="C81" i="2"/>
  <c r="AI83" i="4"/>
  <c r="AK83" i="4"/>
  <c r="Y83" i="4"/>
  <c r="AN83" i="4"/>
  <c r="M83" i="4"/>
  <c r="AO83" i="4"/>
  <c r="AP83" i="4"/>
  <c r="AQ83" i="4"/>
  <c r="AF83" i="4"/>
  <c r="AC83" i="4"/>
  <c r="Z83" i="4"/>
  <c r="W83" i="4"/>
  <c r="AL83" i="4"/>
  <c r="K83" i="4"/>
  <c r="T83" i="4"/>
  <c r="Q83" i="4"/>
  <c r="N83" i="4"/>
  <c r="L83" i="4"/>
  <c r="H83" i="4"/>
  <c r="E83" i="4"/>
  <c r="B83" i="4"/>
  <c r="AO84" i="4"/>
  <c r="AP84" i="4"/>
  <c r="AQ84" i="4"/>
  <c r="AI84" i="4"/>
  <c r="W84" i="4"/>
  <c r="K84" i="4"/>
  <c r="AK84" i="4"/>
  <c r="AJ84" i="4"/>
  <c r="AF84" i="4"/>
  <c r="AC84" i="4"/>
  <c r="Z84" i="4"/>
  <c r="Y84" i="4"/>
  <c r="T84" i="4"/>
  <c r="Q84" i="4"/>
  <c r="N84" i="4"/>
  <c r="M84" i="4"/>
  <c r="H84" i="4"/>
  <c r="E84" i="4"/>
  <c r="B84" i="4"/>
  <c r="AP82" i="2"/>
  <c r="AQ82" i="2"/>
  <c r="AO82" i="2"/>
  <c r="AR82" i="2"/>
  <c r="AL82" i="2"/>
  <c r="AS82" i="2"/>
  <c r="AM82" i="2"/>
  <c r="AT82" i="2"/>
  <c r="AN82" i="2"/>
  <c r="AI82" i="2"/>
  <c r="AK82" i="2"/>
  <c r="AG82" i="2"/>
  <c r="AD82" i="2"/>
  <c r="AA82" i="2"/>
  <c r="W82" i="2"/>
  <c r="X82" i="2"/>
  <c r="Y82" i="2"/>
  <c r="U82" i="2"/>
  <c r="R82" i="2"/>
  <c r="O82" i="2"/>
  <c r="K82" i="2"/>
  <c r="L82" i="2"/>
  <c r="M82" i="2"/>
  <c r="I82" i="2"/>
  <c r="F82" i="2"/>
  <c r="C82" i="2"/>
  <c r="AO85" i="4"/>
  <c r="AP85" i="4"/>
  <c r="AQ85" i="4"/>
  <c r="AI85" i="4"/>
  <c r="AL85" i="4"/>
  <c r="W85" i="4"/>
  <c r="K85" i="4"/>
  <c r="AK85" i="4"/>
  <c r="AJ85" i="4"/>
  <c r="Y85" i="4"/>
  <c r="M85" i="4"/>
  <c r="AI86" i="4"/>
  <c r="AK86" i="4"/>
  <c r="AF85" i="4"/>
  <c r="AC85" i="4"/>
  <c r="Z85" i="4"/>
  <c r="X85" i="4"/>
  <c r="T85" i="4"/>
  <c r="Q85" i="4"/>
  <c r="N85" i="4"/>
  <c r="H85" i="4"/>
  <c r="E85" i="4"/>
  <c r="B85" i="4"/>
  <c r="AP83" i="2"/>
  <c r="AQ83" i="2"/>
  <c r="AR83" i="2"/>
  <c r="AS83" i="2"/>
  <c r="AM83" i="2"/>
  <c r="AT83" i="2"/>
  <c r="AN83" i="2"/>
  <c r="AL83" i="2"/>
  <c r="AI83" i="2"/>
  <c r="AK83" i="2"/>
  <c r="AJ83" i="2"/>
  <c r="AG83" i="2"/>
  <c r="AD83" i="2"/>
  <c r="AA83" i="2"/>
  <c r="W83" i="2"/>
  <c r="Y83" i="2"/>
  <c r="U83" i="2"/>
  <c r="R83" i="2"/>
  <c r="O83" i="2"/>
  <c r="K83" i="2"/>
  <c r="M83" i="2"/>
  <c r="I83" i="2"/>
  <c r="F83" i="2"/>
  <c r="C83" i="2"/>
  <c r="AP84" i="2"/>
  <c r="AQ84" i="2"/>
  <c r="AO84" i="2"/>
  <c r="AR84" i="2"/>
  <c r="AL84" i="2"/>
  <c r="AS84" i="2"/>
  <c r="AM84" i="2"/>
  <c r="AT84" i="2"/>
  <c r="AN84" i="2"/>
  <c r="AI84" i="2"/>
  <c r="AJ84" i="2"/>
  <c r="AK84" i="2"/>
  <c r="AG84" i="2"/>
  <c r="AD84" i="2"/>
  <c r="AA84" i="2"/>
  <c r="W84" i="2"/>
  <c r="Y84" i="2"/>
  <c r="U84" i="2"/>
  <c r="R84" i="2"/>
  <c r="O84" i="2"/>
  <c r="K84" i="2"/>
  <c r="L84" i="2"/>
  <c r="M84" i="2"/>
  <c r="I84" i="2"/>
  <c r="F84" i="2"/>
  <c r="C84" i="2"/>
  <c r="AO86" i="4"/>
  <c r="AP86" i="4"/>
  <c r="AQ86" i="4"/>
  <c r="AF86" i="4"/>
  <c r="AC86" i="4"/>
  <c r="Z86" i="4"/>
  <c r="W86" i="4"/>
  <c r="Y86" i="4"/>
  <c r="X86" i="4"/>
  <c r="T86" i="4"/>
  <c r="Q86" i="4"/>
  <c r="N86" i="4"/>
  <c r="K86" i="4"/>
  <c r="L86" i="4"/>
  <c r="M86" i="4"/>
  <c r="H86" i="4"/>
  <c r="E86" i="4"/>
  <c r="B86" i="4"/>
  <c r="AO87" i="4"/>
  <c r="AP87" i="4"/>
  <c r="AQ87" i="4"/>
  <c r="AI87" i="4"/>
  <c r="AK87" i="4"/>
  <c r="AF87" i="4"/>
  <c r="AC87" i="4"/>
  <c r="Z87" i="4"/>
  <c r="W87" i="4"/>
  <c r="Y87" i="4"/>
  <c r="AN87" i="4"/>
  <c r="M87" i="4"/>
  <c r="T87" i="4"/>
  <c r="Q87" i="4"/>
  <c r="N87" i="4"/>
  <c r="K87" i="4"/>
  <c r="L87" i="4"/>
  <c r="H87" i="4"/>
  <c r="E87" i="4"/>
  <c r="B87" i="4"/>
  <c r="AP85" i="2"/>
  <c r="AQ85" i="2"/>
  <c r="AR85" i="2"/>
  <c r="AL85" i="2"/>
  <c r="AS85" i="2"/>
  <c r="AM85" i="2"/>
  <c r="AT85" i="2"/>
  <c r="AN85" i="2"/>
  <c r="AI85" i="2"/>
  <c r="AJ85" i="2"/>
  <c r="AK85" i="2"/>
  <c r="AG85" i="2"/>
  <c r="AD85" i="2"/>
  <c r="AA85" i="2"/>
  <c r="W85" i="2"/>
  <c r="Y85" i="2"/>
  <c r="U85" i="2"/>
  <c r="R85" i="2"/>
  <c r="O85" i="2"/>
  <c r="K85" i="2"/>
  <c r="M85" i="2"/>
  <c r="I85" i="2"/>
  <c r="F85" i="2"/>
  <c r="C85" i="2"/>
  <c r="AI86" i="2"/>
  <c r="AJ86" i="2"/>
  <c r="AK86" i="2"/>
  <c r="AR86" i="2"/>
  <c r="AL86" i="2"/>
  <c r="AS86" i="2"/>
  <c r="AM86" i="2"/>
  <c r="AT86" i="2"/>
  <c r="AN86" i="2"/>
  <c r="AP86" i="2"/>
  <c r="AQ86" i="2"/>
  <c r="AO86" i="2"/>
  <c r="AG86" i="2"/>
  <c r="AD86" i="2"/>
  <c r="AA86" i="2"/>
  <c r="W86" i="2"/>
  <c r="Y86" i="2"/>
  <c r="U86" i="2"/>
  <c r="R86" i="2"/>
  <c r="O86" i="2"/>
  <c r="K86" i="2"/>
  <c r="L86" i="2"/>
  <c r="M86" i="2"/>
  <c r="I86" i="2"/>
  <c r="F86" i="2"/>
  <c r="C86" i="2"/>
  <c r="AO88" i="4"/>
  <c r="AP88" i="4"/>
  <c r="AQ88" i="4"/>
  <c r="AI88" i="4"/>
  <c r="AL88" i="4"/>
  <c r="AK88" i="4"/>
  <c r="Y88" i="4"/>
  <c r="M88" i="4"/>
  <c r="L88" i="4"/>
  <c r="AF88" i="4"/>
  <c r="AC88" i="4"/>
  <c r="Z88" i="4"/>
  <c r="W88" i="4"/>
  <c r="X88" i="4"/>
  <c r="T88" i="4"/>
  <c r="Q88" i="4"/>
  <c r="N88" i="4"/>
  <c r="K88" i="4"/>
  <c r="H88" i="4"/>
  <c r="E88" i="4"/>
  <c r="B88" i="4"/>
  <c r="AI89" i="4"/>
  <c r="AK89" i="4"/>
  <c r="Y89" i="4"/>
  <c r="M89" i="4"/>
  <c r="AN89" i="4"/>
  <c r="AO89" i="4"/>
  <c r="AP89" i="4"/>
  <c r="AQ89" i="4"/>
  <c r="AF89" i="4"/>
  <c r="AC89" i="4"/>
  <c r="Z89" i="4"/>
  <c r="W89" i="4"/>
  <c r="X89" i="4"/>
  <c r="T89" i="4"/>
  <c r="Q89" i="4"/>
  <c r="N89" i="4"/>
  <c r="K89" i="4"/>
  <c r="H89" i="4"/>
  <c r="E89" i="4"/>
  <c r="B89" i="4"/>
  <c r="AI87" i="2"/>
  <c r="AJ87" i="2"/>
  <c r="AK87" i="2"/>
  <c r="AR87" i="2"/>
  <c r="AL87" i="2"/>
  <c r="AS87" i="2"/>
  <c r="AM87" i="2"/>
  <c r="AT87" i="2"/>
  <c r="AN87" i="2"/>
  <c r="AP87" i="2"/>
  <c r="AQ87" i="2"/>
  <c r="AG87" i="2"/>
  <c r="AD87" i="2"/>
  <c r="AA87" i="2"/>
  <c r="W87" i="2"/>
  <c r="Y87" i="2"/>
  <c r="U87" i="2"/>
  <c r="R87" i="2"/>
  <c r="O87" i="2"/>
  <c r="K87" i="2"/>
  <c r="L87" i="2"/>
  <c r="M87" i="2"/>
  <c r="I87" i="2"/>
  <c r="F87" i="2"/>
  <c r="C87" i="2"/>
  <c r="AP88" i="2"/>
  <c r="AQ88" i="2"/>
  <c r="AR88" i="2"/>
  <c r="AL88" i="2"/>
  <c r="AS88" i="2"/>
  <c r="AM88" i="2"/>
  <c r="AT88" i="2"/>
  <c r="AN88" i="2"/>
  <c r="AI88" i="2"/>
  <c r="AJ88" i="2"/>
  <c r="AK88" i="2"/>
  <c r="AG88" i="2"/>
  <c r="AD88" i="2"/>
  <c r="AA88" i="2"/>
  <c r="W88" i="2"/>
  <c r="X88" i="2"/>
  <c r="Y88" i="2"/>
  <c r="U88" i="2"/>
  <c r="R88" i="2"/>
  <c r="O88" i="2"/>
  <c r="K88" i="2"/>
  <c r="M88" i="2"/>
  <c r="L88" i="2"/>
  <c r="I88" i="2"/>
  <c r="F88" i="2"/>
  <c r="C88" i="2"/>
  <c r="Y90" i="4"/>
  <c r="X90" i="4"/>
  <c r="AO90" i="4"/>
  <c r="AP90" i="4"/>
  <c r="AQ90" i="4"/>
  <c r="AI90" i="4"/>
  <c r="AK90" i="4"/>
  <c r="AF90" i="4"/>
  <c r="AC90" i="4"/>
  <c r="Z90" i="4"/>
  <c r="W90" i="4"/>
  <c r="T90" i="4"/>
  <c r="Q90" i="4"/>
  <c r="N90" i="4"/>
  <c r="K90" i="4"/>
  <c r="M90" i="4"/>
  <c r="H90" i="4"/>
  <c r="E90" i="4"/>
  <c r="B90" i="4"/>
  <c r="AI91" i="4"/>
  <c r="AJ91" i="4"/>
  <c r="W91" i="4"/>
  <c r="K91" i="4"/>
  <c r="L91" i="4"/>
  <c r="AK91" i="4"/>
  <c r="Y91" i="4"/>
  <c r="AO91" i="4"/>
  <c r="AP91" i="4"/>
  <c r="AQ91" i="4"/>
  <c r="AF91" i="4"/>
  <c r="AC91" i="4"/>
  <c r="Z91" i="4"/>
  <c r="T91" i="4"/>
  <c r="Q91" i="4"/>
  <c r="N91" i="4"/>
  <c r="M91" i="4"/>
  <c r="H91" i="4"/>
  <c r="E91" i="4"/>
  <c r="B91" i="4"/>
  <c r="AR89" i="2"/>
  <c r="AL89" i="2"/>
  <c r="AS89" i="2"/>
  <c r="AM89" i="2"/>
  <c r="AT89" i="2"/>
  <c r="AN89" i="2"/>
  <c r="AP89" i="2"/>
  <c r="AO89" i="2"/>
  <c r="AQ89" i="2"/>
  <c r="AI89" i="2"/>
  <c r="AJ89" i="2"/>
  <c r="AK89" i="2"/>
  <c r="AG89" i="2"/>
  <c r="AD89" i="2"/>
  <c r="AA89" i="2"/>
  <c r="W89" i="2"/>
  <c r="Y89" i="2"/>
  <c r="U89" i="2"/>
  <c r="R89" i="2"/>
  <c r="O89" i="2"/>
  <c r="K89" i="2"/>
  <c r="L89" i="2"/>
  <c r="M89" i="2"/>
  <c r="K90" i="2"/>
  <c r="M90" i="2"/>
  <c r="L90" i="2"/>
  <c r="K91" i="2"/>
  <c r="L91" i="2"/>
  <c r="M91" i="2"/>
  <c r="I89" i="2"/>
  <c r="F89" i="2"/>
  <c r="C89" i="2"/>
  <c r="W92" i="4"/>
  <c r="Y92" i="4"/>
  <c r="AO92" i="4"/>
  <c r="AP92" i="4"/>
  <c r="AQ92" i="4"/>
  <c r="AI92" i="4"/>
  <c r="AK92" i="4"/>
  <c r="AF92" i="4"/>
  <c r="AC92" i="4"/>
  <c r="Z92" i="4"/>
  <c r="T92" i="4"/>
  <c r="Q92" i="4"/>
  <c r="N92" i="4"/>
  <c r="K92" i="4"/>
  <c r="M92" i="4"/>
  <c r="H92" i="4"/>
  <c r="E92" i="4"/>
  <c r="B92" i="4"/>
  <c r="AR90" i="2"/>
  <c r="AL90" i="2"/>
  <c r="AS90" i="2"/>
  <c r="AM90" i="2"/>
  <c r="AT90" i="2"/>
  <c r="AN90" i="2"/>
  <c r="AP90" i="2"/>
  <c r="AQ90" i="2"/>
  <c r="AO90" i="2"/>
  <c r="AI90" i="2"/>
  <c r="AJ90" i="2"/>
  <c r="AK90" i="2"/>
  <c r="AG90" i="2"/>
  <c r="AD90" i="2"/>
  <c r="AA90" i="2"/>
  <c r="W90" i="2"/>
  <c r="Y90" i="2"/>
  <c r="U90" i="2"/>
  <c r="R90" i="2"/>
  <c r="O90" i="2"/>
  <c r="I90" i="2"/>
  <c r="F90" i="2"/>
  <c r="C90" i="2"/>
  <c r="AP91" i="2"/>
  <c r="AQ91" i="2"/>
  <c r="AR91" i="2"/>
  <c r="AL91" i="2"/>
  <c r="AS91" i="2"/>
  <c r="AM91" i="2"/>
  <c r="AT91" i="2"/>
  <c r="AN91" i="2"/>
  <c r="AI91" i="2"/>
  <c r="AK91" i="2"/>
  <c r="AG91" i="2"/>
  <c r="AD91" i="2"/>
  <c r="AA91" i="2"/>
  <c r="W91" i="2"/>
  <c r="Y91" i="2"/>
  <c r="U91" i="2"/>
  <c r="R91" i="2"/>
  <c r="O91" i="2"/>
  <c r="I91" i="2"/>
  <c r="F91" i="2"/>
  <c r="C91" i="2"/>
  <c r="W93" i="4"/>
  <c r="Y93" i="4"/>
  <c r="AN93" i="4"/>
  <c r="AM93" i="4"/>
  <c r="AO93" i="4"/>
  <c r="AP93" i="4"/>
  <c r="AQ93" i="4"/>
  <c r="AI93" i="4"/>
  <c r="AK93" i="4"/>
  <c r="M93" i="4"/>
  <c r="AF93" i="4"/>
  <c r="AC93" i="4"/>
  <c r="Z93" i="4"/>
  <c r="T93" i="4"/>
  <c r="Q93" i="4"/>
  <c r="N93" i="4"/>
  <c r="K93" i="4"/>
  <c r="H93" i="4"/>
  <c r="E93" i="4"/>
  <c r="B93" i="4"/>
  <c r="W94" i="4"/>
  <c r="Y94" i="4"/>
  <c r="AO94" i="4"/>
  <c r="AP94" i="4"/>
  <c r="AQ94" i="4"/>
  <c r="AI94" i="4"/>
  <c r="AK94" i="4"/>
  <c r="AF94" i="4"/>
  <c r="AC94" i="4"/>
  <c r="Z94" i="4"/>
  <c r="T94" i="4"/>
  <c r="Q94" i="4"/>
  <c r="N94" i="4"/>
  <c r="K94" i="4"/>
  <c r="M94" i="4"/>
  <c r="H94" i="4"/>
  <c r="E94" i="4"/>
  <c r="B94" i="4"/>
  <c r="AP92" i="2"/>
  <c r="AO92" i="2"/>
  <c r="AQ92" i="2"/>
  <c r="AR92" i="2"/>
  <c r="AL92" i="2"/>
  <c r="AS92" i="2"/>
  <c r="AM92" i="2"/>
  <c r="AT92" i="2"/>
  <c r="AN92" i="2"/>
  <c r="AI92" i="2"/>
  <c r="AJ92" i="2"/>
  <c r="AK92" i="2"/>
  <c r="AG92" i="2"/>
  <c r="AD92" i="2"/>
  <c r="AA92" i="2"/>
  <c r="W92" i="2"/>
  <c r="X92" i="2"/>
  <c r="Y92" i="2"/>
  <c r="U92" i="2"/>
  <c r="R92" i="2"/>
  <c r="O92" i="2"/>
  <c r="K92" i="2"/>
  <c r="M92" i="2"/>
  <c r="I92" i="2"/>
  <c r="F92" i="2"/>
  <c r="C92" i="2"/>
  <c r="AP93" i="2"/>
  <c r="AQ93" i="2"/>
  <c r="AR93" i="2"/>
  <c r="AL93" i="2"/>
  <c r="AS93" i="2"/>
  <c r="AM93" i="2"/>
  <c r="AT93" i="2"/>
  <c r="AN93" i="2"/>
  <c r="AI93" i="2"/>
  <c r="AK93" i="2"/>
  <c r="AG93" i="2"/>
  <c r="AD93" i="2"/>
  <c r="AA93" i="2"/>
  <c r="W93" i="2"/>
  <c r="Y93" i="2"/>
  <c r="U93" i="2"/>
  <c r="R93" i="2"/>
  <c r="O93" i="2"/>
  <c r="K93" i="2"/>
  <c r="M93" i="2"/>
  <c r="L93" i="2"/>
  <c r="I93" i="2"/>
  <c r="F93" i="2"/>
  <c r="C93" i="2"/>
  <c r="W95" i="4"/>
  <c r="Y95" i="4"/>
  <c r="X95" i="4"/>
  <c r="AI95" i="4"/>
  <c r="K95" i="4"/>
  <c r="AK95" i="4"/>
  <c r="M95" i="4"/>
  <c r="L95" i="4"/>
  <c r="AO95" i="4"/>
  <c r="AP95" i="4"/>
  <c r="AQ95" i="4"/>
  <c r="AF95" i="4"/>
  <c r="AC95" i="4"/>
  <c r="Z95" i="4"/>
  <c r="T95" i="4"/>
  <c r="Q95" i="4"/>
  <c r="N95" i="4"/>
  <c r="H95" i="4"/>
  <c r="E95" i="4"/>
  <c r="B95" i="4"/>
  <c r="AQ96" i="4"/>
  <c r="AP96" i="4"/>
  <c r="AO96" i="4"/>
  <c r="AK96" i="4"/>
  <c r="Y96" i="4"/>
  <c r="X96" i="4"/>
  <c r="W96" i="4"/>
  <c r="M96" i="4"/>
  <c r="AI96" i="4"/>
  <c r="AL96" i="4"/>
  <c r="K96" i="4"/>
  <c r="AF96" i="4"/>
  <c r="AC96" i="4"/>
  <c r="Z96" i="4"/>
  <c r="T96" i="4"/>
  <c r="Q96" i="4"/>
  <c r="N96" i="4"/>
  <c r="H96" i="4"/>
  <c r="E96" i="4"/>
  <c r="B96" i="4"/>
  <c r="AP94" i="2"/>
  <c r="AO94" i="2"/>
  <c r="AQ94" i="2"/>
  <c r="AR94" i="2"/>
  <c r="AS94" i="2"/>
  <c r="AM94" i="2"/>
  <c r="AT94" i="2"/>
  <c r="AN94" i="2"/>
  <c r="AL94" i="2"/>
  <c r="AI94" i="2"/>
  <c r="AK94" i="2"/>
  <c r="AG94" i="2"/>
  <c r="AD94" i="2"/>
  <c r="AA94" i="2"/>
  <c r="W94" i="2"/>
  <c r="Y94" i="2"/>
  <c r="U94" i="2"/>
  <c r="R94" i="2"/>
  <c r="O94" i="2"/>
  <c r="K94" i="2"/>
  <c r="M94" i="2"/>
  <c r="I94" i="2"/>
  <c r="F94" i="2"/>
  <c r="C94" i="2"/>
  <c r="AT95" i="2"/>
  <c r="AN95" i="2"/>
  <c r="AS95" i="2"/>
  <c r="AM95" i="2"/>
  <c r="AR95" i="2"/>
  <c r="AQ95" i="2"/>
  <c r="AP95" i="2"/>
  <c r="AO95" i="2"/>
  <c r="AL95" i="2"/>
  <c r="AK95" i="2"/>
  <c r="AI95" i="2"/>
  <c r="AG95" i="2"/>
  <c r="AD95" i="2"/>
  <c r="AA95" i="2"/>
  <c r="Y95" i="2"/>
  <c r="W95" i="2"/>
  <c r="U95" i="2"/>
  <c r="R95" i="2"/>
  <c r="O95" i="2"/>
  <c r="M95" i="2"/>
  <c r="L95" i="2"/>
  <c r="K95" i="2"/>
  <c r="I95" i="2"/>
  <c r="F95" i="2"/>
  <c r="C95" i="2"/>
  <c r="AI96" i="2"/>
  <c r="AK96" i="2"/>
  <c r="K96" i="2"/>
  <c r="M96" i="2"/>
  <c r="AI97" i="4"/>
  <c r="AK97" i="4"/>
  <c r="AO97" i="4"/>
  <c r="AP97" i="4"/>
  <c r="AQ97" i="4"/>
  <c r="AF97" i="4"/>
  <c r="AC97" i="4"/>
  <c r="Z97" i="4"/>
  <c r="W97" i="4"/>
  <c r="Y97" i="4"/>
  <c r="T97" i="4"/>
  <c r="Q97" i="4"/>
  <c r="N97" i="4"/>
  <c r="K97" i="4"/>
  <c r="AL97" i="4"/>
  <c r="M97" i="4"/>
  <c r="H97" i="4"/>
  <c r="E97" i="4"/>
  <c r="B97" i="4"/>
  <c r="AP96" i="2"/>
  <c r="AQ96" i="2"/>
  <c r="AR96" i="2"/>
  <c r="AS96" i="2"/>
  <c r="AM96" i="2"/>
  <c r="AT96" i="2"/>
  <c r="AN96" i="2"/>
  <c r="AL96" i="2"/>
  <c r="AG96" i="2"/>
  <c r="AD96" i="2"/>
  <c r="AA96" i="2"/>
  <c r="W96" i="2"/>
  <c r="X96" i="2"/>
  <c r="Y96" i="2"/>
  <c r="U96" i="2"/>
  <c r="R96" i="2"/>
  <c r="O96" i="2"/>
  <c r="I96" i="2"/>
  <c r="F96" i="2"/>
  <c r="C96" i="2"/>
  <c r="AI98" i="4"/>
  <c r="W98" i="4"/>
  <c r="X98" i="4"/>
  <c r="Y98" i="4"/>
  <c r="K98" i="4"/>
  <c r="L98" i="4"/>
  <c r="AK98" i="4"/>
  <c r="M98" i="4"/>
  <c r="AO98" i="4"/>
  <c r="AP98" i="4"/>
  <c r="AQ98" i="4"/>
  <c r="AF98" i="4"/>
  <c r="AC98" i="4"/>
  <c r="Z98" i="4"/>
  <c r="T98" i="4"/>
  <c r="Q98" i="4"/>
  <c r="N98" i="4"/>
  <c r="H98" i="4"/>
  <c r="H99" i="4"/>
  <c r="H100" i="4"/>
  <c r="E98" i="4"/>
  <c r="B98" i="4"/>
  <c r="AP97" i="2"/>
  <c r="AQ97" i="2"/>
  <c r="AO97" i="2"/>
  <c r="AR97" i="2"/>
  <c r="AL97" i="2"/>
  <c r="AS97" i="2"/>
  <c r="AM97" i="2"/>
  <c r="AT97" i="2"/>
  <c r="AN97" i="2"/>
  <c r="AI97" i="2"/>
  <c r="AK97" i="2"/>
  <c r="AG97" i="2"/>
  <c r="AD97" i="2"/>
  <c r="AA97" i="2"/>
  <c r="W97" i="2"/>
  <c r="Y97" i="2"/>
  <c r="U97" i="2"/>
  <c r="R97" i="2"/>
  <c r="O97" i="2"/>
  <c r="K97" i="2"/>
  <c r="L97" i="2"/>
  <c r="M97" i="2"/>
  <c r="I97" i="2"/>
  <c r="F97" i="2"/>
  <c r="C97" i="2"/>
  <c r="AI99" i="4"/>
  <c r="W99" i="4"/>
  <c r="K99" i="4"/>
  <c r="L99" i="4"/>
  <c r="AK99" i="4"/>
  <c r="AN99" i="4"/>
  <c r="Y99" i="4"/>
  <c r="M99" i="4"/>
  <c r="AO99" i="4"/>
  <c r="AP99" i="4"/>
  <c r="AQ99" i="4"/>
  <c r="AF99" i="4"/>
  <c r="AC99" i="4"/>
  <c r="Z99" i="4"/>
  <c r="T99" i="4"/>
  <c r="Q99" i="4"/>
  <c r="N99" i="4"/>
  <c r="E99" i="4"/>
  <c r="B99" i="4"/>
  <c r="AP98" i="2"/>
  <c r="AQ98" i="2"/>
  <c r="AR98" i="2"/>
  <c r="AL98" i="2"/>
  <c r="AS98" i="2"/>
  <c r="AM98" i="2"/>
  <c r="AT98" i="2"/>
  <c r="AN98" i="2"/>
  <c r="AI98" i="2"/>
  <c r="AJ98" i="2"/>
  <c r="AK98" i="2"/>
  <c r="AI99" i="2"/>
  <c r="AK99" i="2"/>
  <c r="AJ99" i="2"/>
  <c r="AI100" i="2"/>
  <c r="AJ100" i="2"/>
  <c r="AK100" i="2"/>
  <c r="AI101" i="2"/>
  <c r="AK101" i="2"/>
  <c r="AI102" i="2"/>
  <c r="AK102" i="2"/>
  <c r="AJ102" i="2"/>
  <c r="AI103" i="2"/>
  <c r="AK103" i="2"/>
  <c r="AJ103" i="2"/>
  <c r="AI104" i="2"/>
  <c r="AJ104" i="2"/>
  <c r="AK104" i="2"/>
  <c r="AG98" i="2"/>
  <c r="AG99" i="2"/>
  <c r="AG100" i="2"/>
  <c r="AG101" i="2"/>
  <c r="AG102" i="2"/>
  <c r="AG103" i="2"/>
  <c r="AG104" i="2"/>
  <c r="AG105" i="2"/>
  <c r="AG106" i="2"/>
  <c r="AD98" i="2"/>
  <c r="AD99" i="2"/>
  <c r="AD100" i="2"/>
  <c r="AD101" i="2"/>
  <c r="AD102" i="2"/>
  <c r="AD103" i="2"/>
  <c r="AD104" i="2"/>
  <c r="AD105" i="2"/>
  <c r="AD106" i="2"/>
  <c r="AA98" i="2"/>
  <c r="AA99" i="2"/>
  <c r="AA100" i="2"/>
  <c r="AA101" i="2"/>
  <c r="AA102" i="2"/>
  <c r="AA103" i="2"/>
  <c r="AA104" i="2"/>
  <c r="AA105" i="2"/>
  <c r="AA106" i="2"/>
  <c r="K98" i="2"/>
  <c r="M98" i="2"/>
  <c r="L98" i="2"/>
  <c r="K99" i="2"/>
  <c r="L99" i="2"/>
  <c r="M99" i="2"/>
  <c r="K100" i="2"/>
  <c r="M100" i="2"/>
  <c r="K101" i="2"/>
  <c r="M101" i="2"/>
  <c r="L101" i="2"/>
  <c r="K102" i="2"/>
  <c r="M102" i="2"/>
  <c r="K103" i="2"/>
  <c r="M103" i="2"/>
  <c r="K104" i="2"/>
  <c r="M104" i="2"/>
  <c r="L104" i="2"/>
  <c r="K105" i="2"/>
  <c r="L105" i="2"/>
  <c r="M105" i="2"/>
  <c r="K106" i="2"/>
  <c r="L106" i="2"/>
  <c r="M106" i="2"/>
  <c r="I98" i="2"/>
  <c r="I99" i="2"/>
  <c r="I100" i="2"/>
  <c r="I101" i="2"/>
  <c r="I102" i="2"/>
  <c r="I103" i="2"/>
  <c r="I104" i="2"/>
  <c r="I105" i="2"/>
  <c r="I106" i="2"/>
  <c r="I107" i="2"/>
  <c r="F108" i="2"/>
  <c r="F107" i="2"/>
  <c r="F106" i="2"/>
  <c r="F105" i="2"/>
  <c r="F104" i="2"/>
  <c r="F103" i="2"/>
  <c r="F102" i="2"/>
  <c r="F101" i="2"/>
  <c r="F100" i="2"/>
  <c r="F99" i="2"/>
  <c r="F98" i="2"/>
  <c r="C98" i="2"/>
  <c r="C99" i="2"/>
  <c r="C100" i="2"/>
  <c r="C101" i="2"/>
  <c r="C102" i="2"/>
  <c r="C103" i="2"/>
  <c r="C104" i="2"/>
  <c r="C105" i="2"/>
  <c r="C106" i="2"/>
  <c r="C107" i="2"/>
  <c r="C108" i="2"/>
  <c r="C109" i="2"/>
  <c r="C110" i="2"/>
  <c r="C111" i="2"/>
  <c r="C112" i="2"/>
  <c r="C113" i="2"/>
  <c r="C114" i="2"/>
  <c r="AK109" i="4"/>
  <c r="AN109" i="4"/>
  <c r="AM109" i="4"/>
  <c r="AI109" i="4"/>
  <c r="W109" i="4"/>
  <c r="K109" i="4"/>
  <c r="AK108" i="4"/>
  <c r="AI108" i="4"/>
  <c r="AK107" i="4"/>
  <c r="AI107" i="4"/>
  <c r="AJ107" i="4"/>
  <c r="AK106" i="4"/>
  <c r="AN106" i="4"/>
  <c r="AI106" i="4"/>
  <c r="AK105" i="4"/>
  <c r="AI105" i="4"/>
  <c r="AK104" i="4"/>
  <c r="AI104" i="4"/>
  <c r="AK103" i="4"/>
  <c r="AI103" i="4"/>
  <c r="AJ103" i="4"/>
  <c r="AK102" i="4"/>
  <c r="AN102" i="4"/>
  <c r="AI102" i="4"/>
  <c r="AK101" i="4"/>
  <c r="AJ101" i="4"/>
  <c r="AI101" i="4"/>
  <c r="AK100" i="4"/>
  <c r="AJ100" i="4"/>
  <c r="AI100" i="4"/>
  <c r="AF100" i="4"/>
  <c r="AF101" i="4"/>
  <c r="AF102" i="4"/>
  <c r="AF103" i="4"/>
  <c r="AF104" i="4"/>
  <c r="AF105" i="4"/>
  <c r="AF106" i="4"/>
  <c r="AF107" i="4"/>
  <c r="AF108" i="4"/>
  <c r="AC100" i="4"/>
  <c r="AC101" i="4"/>
  <c r="AC102" i="4"/>
  <c r="AC103" i="4"/>
  <c r="AC104" i="4"/>
  <c r="AC105" i="4"/>
  <c r="AC106" i="4"/>
  <c r="AC107" i="4"/>
  <c r="AC108" i="4"/>
  <c r="Z100" i="4"/>
  <c r="Z101" i="4"/>
  <c r="Z102" i="4"/>
  <c r="Z103" i="4"/>
  <c r="Z104" i="4"/>
  <c r="Z105" i="4"/>
  <c r="Z106" i="4"/>
  <c r="Z107" i="4"/>
  <c r="Z108" i="4"/>
  <c r="K100" i="4"/>
  <c r="M100" i="4"/>
  <c r="L100" i="4"/>
  <c r="K101" i="4"/>
  <c r="M101" i="4"/>
  <c r="K102" i="4"/>
  <c r="M102" i="4"/>
  <c r="K103" i="4"/>
  <c r="AL103" i="4"/>
  <c r="M103" i="4"/>
  <c r="K104" i="4"/>
  <c r="L104" i="4"/>
  <c r="M104" i="4"/>
  <c r="K105" i="4"/>
  <c r="M105" i="4"/>
  <c r="H106" i="4"/>
  <c r="H105" i="4"/>
  <c r="H104" i="4"/>
  <c r="H103" i="4"/>
  <c r="H102" i="4"/>
  <c r="H101" i="4"/>
  <c r="E100" i="4"/>
  <c r="E101" i="4"/>
  <c r="E102" i="4"/>
  <c r="E103" i="4"/>
  <c r="E104" i="4"/>
  <c r="E105" i="4"/>
  <c r="E106" i="4"/>
  <c r="B100" i="4"/>
  <c r="B101" i="4"/>
  <c r="B102" i="4"/>
  <c r="B103" i="4"/>
  <c r="B104" i="4"/>
  <c r="B105" i="4"/>
  <c r="B106" i="4"/>
  <c r="Y103" i="4"/>
  <c r="X103" i="4"/>
  <c r="W103" i="4"/>
  <c r="T103" i="4"/>
  <c r="Q103" i="4"/>
  <c r="N103" i="4"/>
  <c r="W100" i="4"/>
  <c r="Y100" i="4"/>
  <c r="X100" i="4"/>
  <c r="AO100" i="4"/>
  <c r="AP100" i="4"/>
  <c r="AQ100" i="4"/>
  <c r="W101" i="4"/>
  <c r="X101" i="4"/>
  <c r="Y101" i="4"/>
  <c r="W102" i="4"/>
  <c r="Y102" i="4"/>
  <c r="W104" i="4"/>
  <c r="Y104" i="4"/>
  <c r="W105" i="4"/>
  <c r="Y105" i="4"/>
  <c r="T100" i="4"/>
  <c r="T101" i="4"/>
  <c r="T102" i="4"/>
  <c r="T104" i="4"/>
  <c r="T105" i="4"/>
  <c r="T106" i="4"/>
  <c r="Q100" i="4"/>
  <c r="Q101" i="4"/>
  <c r="Q102" i="4"/>
  <c r="Q104" i="4"/>
  <c r="Q105" i="4"/>
  <c r="Q106" i="4"/>
  <c r="N100" i="4"/>
  <c r="N101" i="4"/>
  <c r="N102" i="4"/>
  <c r="N104" i="4"/>
  <c r="N105" i="4"/>
  <c r="N106" i="4"/>
  <c r="O102" i="2"/>
  <c r="U102" i="2"/>
  <c r="W98" i="2"/>
  <c r="Y98" i="2"/>
  <c r="X98" i="2"/>
  <c r="W99" i="2"/>
  <c r="X99" i="2"/>
  <c r="Y99" i="2"/>
  <c r="W100" i="2"/>
  <c r="Y100" i="2"/>
  <c r="W101" i="2"/>
  <c r="Y101" i="2"/>
  <c r="W102" i="2"/>
  <c r="X102" i="2"/>
  <c r="Y102" i="2"/>
  <c r="W103" i="2"/>
  <c r="X103" i="2"/>
  <c r="Y103" i="2"/>
  <c r="U98" i="2"/>
  <c r="U99" i="2"/>
  <c r="U100" i="2"/>
  <c r="O98" i="2"/>
  <c r="O99" i="2"/>
  <c r="O100" i="2"/>
  <c r="R98" i="2"/>
  <c r="R99" i="2"/>
  <c r="R100" i="2"/>
  <c r="R101" i="2"/>
  <c r="R102" i="2"/>
  <c r="U101" i="2"/>
  <c r="O101" i="2"/>
  <c r="AO101" i="4"/>
  <c r="AP101" i="4"/>
  <c r="AQ101" i="4"/>
  <c r="AO102" i="4"/>
  <c r="AP102" i="4"/>
  <c r="AQ102" i="4"/>
  <c r="AO103" i="4"/>
  <c r="AP103" i="4"/>
  <c r="AQ103" i="4"/>
  <c r="AO104" i="4"/>
  <c r="AP104" i="4"/>
  <c r="AQ104" i="4"/>
  <c r="AP99" i="2"/>
  <c r="AO99" i="2"/>
  <c r="AQ99" i="2"/>
  <c r="AR99" i="2"/>
  <c r="AL99" i="2"/>
  <c r="AS99" i="2"/>
  <c r="AM99" i="2"/>
  <c r="AT99" i="2"/>
  <c r="AP100" i="2"/>
  <c r="AQ100" i="2"/>
  <c r="AR100" i="2"/>
  <c r="AL100" i="2"/>
  <c r="AS100" i="2"/>
  <c r="AM100" i="2"/>
  <c r="AT100" i="2"/>
  <c r="AN100" i="2"/>
  <c r="AP101" i="2"/>
  <c r="AO101" i="2"/>
  <c r="AQ101" i="2"/>
  <c r="AR101" i="2"/>
  <c r="AL101" i="2"/>
  <c r="AS101" i="2"/>
  <c r="AM101" i="2"/>
  <c r="AT101" i="2"/>
  <c r="AN101" i="2"/>
  <c r="AP102" i="2"/>
  <c r="AQ102" i="2"/>
  <c r="AO102" i="2"/>
  <c r="AR102" i="2"/>
  <c r="AL102" i="2"/>
  <c r="AS102" i="2"/>
  <c r="AM102" i="2"/>
  <c r="AT102" i="2"/>
  <c r="AN102" i="2"/>
  <c r="AN99" i="2"/>
  <c r="AP103" i="2"/>
  <c r="AQ103" i="2"/>
  <c r="AR103" i="2"/>
  <c r="AL103" i="2"/>
  <c r="AS103" i="2"/>
  <c r="AM103" i="2"/>
  <c r="AT103" i="2"/>
  <c r="AN103" i="2"/>
  <c r="U103" i="2"/>
  <c r="R103" i="2"/>
  <c r="O103" i="2"/>
  <c r="AO105" i="4"/>
  <c r="AP105" i="4"/>
  <c r="AQ105" i="4"/>
  <c r="AR104" i="2"/>
  <c r="AL104" i="2"/>
  <c r="AS104" i="2"/>
  <c r="AM104" i="2"/>
  <c r="AT104" i="2"/>
  <c r="AN104" i="2"/>
  <c r="AP104" i="2"/>
  <c r="AQ104" i="2"/>
  <c r="AO104" i="2"/>
  <c r="W104" i="2"/>
  <c r="X104" i="2"/>
  <c r="Y104" i="2"/>
  <c r="U104" i="2"/>
  <c r="R104" i="2"/>
  <c r="O104" i="2"/>
  <c r="W106" i="4"/>
  <c r="X106" i="4"/>
  <c r="K106" i="4"/>
  <c r="Y106" i="4"/>
  <c r="M106" i="4"/>
  <c r="L106" i="4"/>
  <c r="AO106" i="4"/>
  <c r="AP106" i="4"/>
  <c r="AQ106" i="4"/>
  <c r="AP105" i="2"/>
  <c r="AQ105" i="2"/>
  <c r="AR105" i="2"/>
  <c r="AL105" i="2"/>
  <c r="AS105" i="2"/>
  <c r="AM105" i="2"/>
  <c r="AT105" i="2"/>
  <c r="AN105" i="2"/>
  <c r="AI105" i="2"/>
  <c r="AK105" i="2"/>
  <c r="W105" i="2"/>
  <c r="Y105" i="2"/>
  <c r="U105" i="2"/>
  <c r="R105" i="2"/>
  <c r="O105" i="2"/>
  <c r="W107" i="4"/>
  <c r="X107" i="4"/>
  <c r="Y107" i="4"/>
  <c r="K107" i="4"/>
  <c r="M107" i="4"/>
  <c r="L107" i="4"/>
  <c r="AO107" i="4"/>
  <c r="AP107" i="4"/>
  <c r="AQ107" i="4"/>
  <c r="T107" i="4"/>
  <c r="Q107" i="4"/>
  <c r="N107" i="4"/>
  <c r="H107" i="4"/>
  <c r="E107" i="4"/>
  <c r="B107" i="4"/>
  <c r="AP106" i="2"/>
  <c r="AQ106" i="2"/>
  <c r="AO106" i="2"/>
  <c r="AR106" i="2"/>
  <c r="AL106" i="2"/>
  <c r="AS106" i="2"/>
  <c r="AM106" i="2"/>
  <c r="AT106" i="2"/>
  <c r="AN106" i="2"/>
  <c r="AI106" i="2"/>
  <c r="AK106" i="2"/>
  <c r="W106" i="2"/>
  <c r="Y106" i="2"/>
  <c r="X106" i="2"/>
  <c r="U106" i="2"/>
  <c r="R106" i="2"/>
  <c r="O106" i="2"/>
  <c r="W108" i="4"/>
  <c r="X108" i="4"/>
  <c r="K108" i="4"/>
  <c r="Y108" i="4"/>
  <c r="M108" i="4"/>
  <c r="AO108" i="4"/>
  <c r="AP108" i="4"/>
  <c r="AQ108" i="4"/>
  <c r="T108" i="4"/>
  <c r="Q108" i="4"/>
  <c r="N108" i="4"/>
  <c r="H108" i="4"/>
  <c r="E108" i="4"/>
  <c r="B108" i="4"/>
  <c r="AT107" i="2"/>
  <c r="AN107" i="2"/>
  <c r="AS107" i="2"/>
  <c r="AM107" i="2"/>
  <c r="AR107" i="2"/>
  <c r="AL107" i="2"/>
  <c r="AQ107" i="2"/>
  <c r="AO107" i="2"/>
  <c r="AP107" i="2"/>
  <c r="AK107" i="2"/>
  <c r="AI107" i="2"/>
  <c r="AG107" i="2"/>
  <c r="AD107" i="2"/>
  <c r="AA107" i="2"/>
  <c r="Y107" i="2"/>
  <c r="W107" i="2"/>
  <c r="U107" i="2"/>
  <c r="R107" i="2"/>
  <c r="O107" i="2"/>
  <c r="M107" i="2"/>
  <c r="K107" i="2"/>
  <c r="AQ109" i="4"/>
  <c r="AP109" i="4"/>
  <c r="AO109" i="4"/>
  <c r="Y109" i="4"/>
  <c r="M109" i="4"/>
  <c r="AF109" i="4"/>
  <c r="AC109" i="4"/>
  <c r="Z109" i="4"/>
  <c r="T109" i="4"/>
  <c r="Q109" i="4"/>
  <c r="N109" i="4"/>
  <c r="H109" i="4"/>
  <c r="E109" i="4"/>
  <c r="B109" i="4"/>
  <c r="AT108" i="2"/>
  <c r="AN108" i="2"/>
  <c r="AS108" i="2"/>
  <c r="AM108" i="2"/>
  <c r="AR108" i="2"/>
  <c r="AL108" i="2"/>
  <c r="AQ108" i="2"/>
  <c r="AP108" i="2"/>
  <c r="AK108" i="2"/>
  <c r="AI108" i="2"/>
  <c r="AG108" i="2"/>
  <c r="AD108" i="2"/>
  <c r="AA108" i="2"/>
  <c r="Y108" i="2"/>
  <c r="W108" i="2"/>
  <c r="X108" i="2"/>
  <c r="U108" i="2"/>
  <c r="R108" i="2"/>
  <c r="O108" i="2"/>
  <c r="M108" i="2"/>
  <c r="L108" i="2"/>
  <c r="K108" i="2"/>
  <c r="I108" i="2"/>
  <c r="AQ110" i="4"/>
  <c r="AP110" i="4"/>
  <c r="AO110" i="4"/>
  <c r="AK110" i="4"/>
  <c r="AN110" i="4"/>
  <c r="Y110" i="4"/>
  <c r="M110" i="4"/>
  <c r="AI110" i="4"/>
  <c r="AJ110" i="4"/>
  <c r="W110" i="4"/>
  <c r="X110" i="4"/>
  <c r="K110" i="4"/>
  <c r="AF110" i="4"/>
  <c r="AC110" i="4"/>
  <c r="Z110" i="4"/>
  <c r="T110" i="4"/>
  <c r="Q110" i="4"/>
  <c r="N110" i="4"/>
  <c r="H110" i="4"/>
  <c r="E110" i="4"/>
  <c r="B110" i="4"/>
  <c r="AQ167" i="4"/>
  <c r="AP167" i="4"/>
  <c r="AQ166" i="4"/>
  <c r="AP166" i="4"/>
  <c r="AQ165" i="4"/>
  <c r="AP165" i="4"/>
  <c r="AQ164" i="4"/>
  <c r="AP164" i="4"/>
  <c r="AQ163" i="4"/>
  <c r="AP163" i="4"/>
  <c r="AQ162" i="4"/>
  <c r="AP162" i="4"/>
  <c r="AQ161" i="4"/>
  <c r="AP161" i="4"/>
  <c r="AQ160" i="4"/>
  <c r="AP160" i="4"/>
  <c r="AQ159" i="4"/>
  <c r="AP159" i="4"/>
  <c r="AQ158" i="4"/>
  <c r="AP158" i="4"/>
  <c r="AQ157" i="4"/>
  <c r="AP157" i="4"/>
  <c r="AQ156" i="4"/>
  <c r="AP156" i="4"/>
  <c r="AQ155" i="4"/>
  <c r="AP155" i="4"/>
  <c r="AQ154" i="4"/>
  <c r="AP154" i="4"/>
  <c r="AQ153" i="4"/>
  <c r="AP153" i="4"/>
  <c r="AQ152" i="4"/>
  <c r="AP152" i="4"/>
  <c r="AG151" i="4"/>
  <c r="AH151" i="4"/>
  <c r="AD151" i="4"/>
  <c r="AP151" i="4"/>
  <c r="AE151" i="4"/>
  <c r="AQ150" i="4"/>
  <c r="AP150" i="4"/>
  <c r="AQ149" i="4"/>
  <c r="AP149" i="4"/>
  <c r="AQ148" i="4"/>
  <c r="AP148" i="4"/>
  <c r="AQ147" i="4"/>
  <c r="AP147" i="4"/>
  <c r="AQ146" i="4"/>
  <c r="AP146" i="4"/>
  <c r="AQ145" i="4"/>
  <c r="AP145" i="4"/>
  <c r="AQ144" i="4"/>
  <c r="AP144" i="4"/>
  <c r="AQ143" i="4"/>
  <c r="AP143" i="4"/>
  <c r="AQ142" i="4"/>
  <c r="AP142" i="4"/>
  <c r="AQ141" i="4"/>
  <c r="AP141" i="4"/>
  <c r="AQ140" i="4"/>
  <c r="AP140" i="4"/>
  <c r="AQ139" i="4"/>
  <c r="AP139" i="4"/>
  <c r="AQ138" i="4"/>
  <c r="AP138" i="4"/>
  <c r="AQ137" i="4"/>
  <c r="AP137" i="4"/>
  <c r="AQ136" i="4"/>
  <c r="AP136" i="4"/>
  <c r="AG135" i="4"/>
  <c r="AF135" i="4"/>
  <c r="AH135" i="4"/>
  <c r="AE135" i="4"/>
  <c r="AB135" i="4"/>
  <c r="AD135" i="4"/>
  <c r="AG134" i="4"/>
  <c r="AH134" i="4"/>
  <c r="AD134" i="4"/>
  <c r="AC134" i="4"/>
  <c r="AE134" i="4"/>
  <c r="AQ133" i="4"/>
  <c r="AP133" i="4"/>
  <c r="AQ132" i="4"/>
  <c r="AP132" i="4"/>
  <c r="AQ131" i="4"/>
  <c r="AP131" i="4"/>
  <c r="AQ130" i="4"/>
  <c r="AP130" i="4"/>
  <c r="AG129" i="4"/>
  <c r="AP129" i="4"/>
  <c r="AQ128" i="4"/>
  <c r="AP128" i="4"/>
  <c r="AQ127" i="4"/>
  <c r="AP127" i="4"/>
  <c r="AG126" i="4"/>
  <c r="AP126" i="4"/>
  <c r="AQ125" i="4"/>
  <c r="AP125" i="4"/>
  <c r="I124" i="4"/>
  <c r="J124" i="4"/>
  <c r="G124" i="4"/>
  <c r="AQ123" i="4"/>
  <c r="AP123" i="4"/>
  <c r="AQ122" i="4"/>
  <c r="AP122" i="4"/>
  <c r="AQ121" i="4"/>
  <c r="AP121" i="4"/>
  <c r="AQ120" i="4"/>
  <c r="AP120" i="4"/>
  <c r="AQ119" i="4"/>
  <c r="AP119" i="4"/>
  <c r="AQ118" i="4"/>
  <c r="AP118" i="4"/>
  <c r="AG117" i="4"/>
  <c r="I117" i="4"/>
  <c r="AH117" i="4"/>
  <c r="J117" i="4"/>
  <c r="G117" i="4"/>
  <c r="D117" i="4"/>
  <c r="B117" i="4"/>
  <c r="AD117" i="4"/>
  <c r="AA117" i="4"/>
  <c r="F117" i="4"/>
  <c r="AE117" i="4"/>
  <c r="AG116" i="4"/>
  <c r="AH116" i="4"/>
  <c r="AD116" i="4"/>
  <c r="AC116" i="4"/>
  <c r="AE116" i="4"/>
  <c r="AQ115" i="4"/>
  <c r="AP115" i="4"/>
  <c r="I114" i="4"/>
  <c r="AH114" i="4"/>
  <c r="AF114" i="4"/>
  <c r="J114" i="4"/>
  <c r="AD114" i="4"/>
  <c r="AP114" i="4"/>
  <c r="F114" i="4"/>
  <c r="G114" i="4"/>
  <c r="M114" i="4"/>
  <c r="AE114" i="4"/>
  <c r="AB114" i="4"/>
  <c r="AQ113" i="4"/>
  <c r="AP113" i="4"/>
  <c r="U112" i="4"/>
  <c r="W112" i="4"/>
  <c r="I112" i="4"/>
  <c r="V112" i="4"/>
  <c r="J112" i="4"/>
  <c r="R112" i="4"/>
  <c r="F112" i="4"/>
  <c r="G112" i="4"/>
  <c r="S112" i="4"/>
  <c r="AE112" i="4"/>
  <c r="AC112" i="4"/>
  <c r="AG111" i="4"/>
  <c r="I111" i="4"/>
  <c r="AH111" i="4"/>
  <c r="J111" i="4"/>
  <c r="AD111" i="4"/>
  <c r="AC111" i="4"/>
  <c r="F111" i="4"/>
  <c r="G111" i="4"/>
  <c r="E111" i="4"/>
  <c r="AE111" i="4"/>
  <c r="D111" i="4"/>
  <c r="B111" i="4"/>
  <c r="C111" i="4"/>
  <c r="AB111" i="4"/>
  <c r="AA111" i="4"/>
  <c r="Y111" i="4"/>
  <c r="W111" i="4"/>
  <c r="X111" i="4"/>
  <c r="T111" i="4"/>
  <c r="Q111" i="4"/>
  <c r="N111" i="4"/>
  <c r="AT109" i="2"/>
  <c r="AN109" i="2"/>
  <c r="AS109" i="2"/>
  <c r="AM109" i="2"/>
  <c r="AR109" i="2"/>
  <c r="AL109" i="2"/>
  <c r="AQ109" i="2"/>
  <c r="AP109" i="2"/>
  <c r="AO109" i="2"/>
  <c r="AK109" i="2"/>
  <c r="AJ109" i="2"/>
  <c r="AI109" i="2"/>
  <c r="AG109" i="2"/>
  <c r="AD109" i="2"/>
  <c r="AA109" i="2"/>
  <c r="Y109" i="2"/>
  <c r="W109" i="2"/>
  <c r="U109" i="2"/>
  <c r="R109" i="2"/>
  <c r="O109" i="2"/>
  <c r="M109" i="2"/>
  <c r="K109" i="2"/>
  <c r="L109" i="2"/>
  <c r="I109" i="2"/>
  <c r="F109" i="2"/>
  <c r="P112" i="4"/>
  <c r="AO112" i="4"/>
  <c r="O112" i="4"/>
  <c r="AB112" i="4"/>
  <c r="Z112" i="4"/>
  <c r="D112" i="4"/>
  <c r="B112" i="4"/>
  <c r="C112" i="4"/>
  <c r="AT110" i="2"/>
  <c r="AN110" i="2"/>
  <c r="AS110" i="2"/>
  <c r="AM110" i="2"/>
  <c r="AR110" i="2"/>
  <c r="AL110" i="2"/>
  <c r="AQ110" i="2"/>
  <c r="AP110" i="2"/>
  <c r="AO110" i="2"/>
  <c r="AK110" i="2"/>
  <c r="AI110" i="2"/>
  <c r="AJ110" i="2"/>
  <c r="AG110" i="2"/>
  <c r="AD110" i="2"/>
  <c r="AA110" i="2"/>
  <c r="Y110" i="2"/>
  <c r="W110" i="2"/>
  <c r="U110" i="2"/>
  <c r="R110" i="2"/>
  <c r="O110" i="2"/>
  <c r="M110" i="2"/>
  <c r="K110" i="2"/>
  <c r="I110" i="2"/>
  <c r="F110" i="2"/>
  <c r="AI112" i="4"/>
  <c r="AF112" i="4"/>
  <c r="AT111" i="2"/>
  <c r="AN111" i="2"/>
  <c r="AS111" i="2"/>
  <c r="AM111" i="2"/>
  <c r="AR111" i="2"/>
  <c r="AL111" i="2"/>
  <c r="AQ111" i="2"/>
  <c r="AP111" i="2"/>
  <c r="AK111" i="2"/>
  <c r="AI111" i="2"/>
  <c r="AJ111" i="2"/>
  <c r="AG111" i="2"/>
  <c r="AD111" i="2"/>
  <c r="AA111" i="2"/>
  <c r="Y111" i="2"/>
  <c r="X111" i="2"/>
  <c r="W111" i="2"/>
  <c r="U111" i="2"/>
  <c r="R111" i="2"/>
  <c r="O111" i="2"/>
  <c r="M111" i="2"/>
  <c r="K111" i="2"/>
  <c r="L111" i="2"/>
  <c r="I111" i="2"/>
  <c r="F111" i="2"/>
  <c r="AO113" i="4"/>
  <c r="AK113" i="4"/>
  <c r="Y113" i="4"/>
  <c r="M113" i="4"/>
  <c r="AI113" i="4"/>
  <c r="AL113" i="4"/>
  <c r="AM113" i="4"/>
  <c r="W113" i="4"/>
  <c r="X113" i="4"/>
  <c r="K113" i="4"/>
  <c r="L113" i="4"/>
  <c r="AF113" i="4"/>
  <c r="AC113" i="4"/>
  <c r="Z113" i="4"/>
  <c r="T113" i="4"/>
  <c r="Q113" i="4"/>
  <c r="N113" i="4"/>
  <c r="H113" i="4"/>
  <c r="E113" i="4"/>
  <c r="B113" i="4"/>
  <c r="AA114" i="4"/>
  <c r="Z114" i="4"/>
  <c r="D114" i="4"/>
  <c r="C114" i="4"/>
  <c r="AT112" i="2"/>
  <c r="AS112" i="2"/>
  <c r="AM112" i="2"/>
  <c r="AR112" i="2"/>
  <c r="AL112" i="2"/>
  <c r="AQ112" i="2"/>
  <c r="AP112" i="2"/>
  <c r="AO112" i="2"/>
  <c r="AN112" i="2"/>
  <c r="AK112" i="2"/>
  <c r="AI112" i="2"/>
  <c r="AG112" i="2"/>
  <c r="AD112" i="2"/>
  <c r="AA112" i="2"/>
  <c r="Y112" i="2"/>
  <c r="W112" i="2"/>
  <c r="U112" i="2"/>
  <c r="R112" i="2"/>
  <c r="O112" i="2"/>
  <c r="M112" i="2"/>
  <c r="K112" i="2"/>
  <c r="L112" i="2"/>
  <c r="I112" i="2"/>
  <c r="F112" i="2"/>
  <c r="Y114" i="4"/>
  <c r="W114" i="4"/>
  <c r="T114" i="4"/>
  <c r="Q114" i="4"/>
  <c r="N114" i="4"/>
  <c r="AT113" i="2"/>
  <c r="AN113" i="2"/>
  <c r="AS113" i="2"/>
  <c r="AM113" i="2"/>
  <c r="AR113" i="2"/>
  <c r="AQ113" i="2"/>
  <c r="AO113" i="2"/>
  <c r="AP113" i="2"/>
  <c r="AL113" i="2"/>
  <c r="AK113" i="2"/>
  <c r="AI113" i="2"/>
  <c r="AJ113" i="2"/>
  <c r="AG113" i="2"/>
  <c r="AD113" i="2"/>
  <c r="AA113" i="2"/>
  <c r="Y113" i="2"/>
  <c r="W113" i="2"/>
  <c r="X113" i="2"/>
  <c r="U113" i="2"/>
  <c r="R113" i="2"/>
  <c r="O113" i="2"/>
  <c r="M113" i="2"/>
  <c r="K113" i="2"/>
  <c r="I113" i="2"/>
  <c r="F113" i="2"/>
  <c r="AO115" i="4"/>
  <c r="AK115" i="4"/>
  <c r="Y115" i="4"/>
  <c r="M115" i="4"/>
  <c r="AN115" i="4"/>
  <c r="K115" i="4"/>
  <c r="AI115" i="4"/>
  <c r="AJ115" i="4"/>
  <c r="W115" i="4"/>
  <c r="X115" i="4"/>
  <c r="AF115" i="4"/>
  <c r="AC115" i="4"/>
  <c r="Z115" i="4"/>
  <c r="T115" i="4"/>
  <c r="Q115" i="4"/>
  <c r="N115" i="4"/>
  <c r="H115" i="4"/>
  <c r="E115" i="4"/>
  <c r="B115" i="4"/>
  <c r="AB116" i="4"/>
  <c r="AT114" i="2"/>
  <c r="AS114" i="2"/>
  <c r="AM114" i="2"/>
  <c r="AR114" i="2"/>
  <c r="AL114" i="2"/>
  <c r="AQ114" i="2"/>
  <c r="AP114" i="2"/>
  <c r="AO114" i="2"/>
  <c r="AN114" i="2"/>
  <c r="AK114" i="2"/>
  <c r="AJ114" i="2"/>
  <c r="AI114" i="2"/>
  <c r="AG114" i="2"/>
  <c r="AD114" i="2"/>
  <c r="AA114" i="2"/>
  <c r="Y114" i="2"/>
  <c r="W114" i="2"/>
  <c r="X114" i="2"/>
  <c r="U114" i="2"/>
  <c r="R114" i="2"/>
  <c r="O114" i="2"/>
  <c r="M114" i="2"/>
  <c r="K114" i="2"/>
  <c r="L114" i="2"/>
  <c r="I114" i="2"/>
  <c r="F114" i="2"/>
  <c r="Y116" i="4"/>
  <c r="M116" i="4"/>
  <c r="W116" i="4"/>
  <c r="K116" i="4"/>
  <c r="T116" i="4"/>
  <c r="Q116" i="4"/>
  <c r="N116" i="4"/>
  <c r="H116" i="4"/>
  <c r="E116" i="4"/>
  <c r="B116" i="4"/>
  <c r="AB117" i="4"/>
  <c r="C117" i="4"/>
  <c r="AT115" i="2"/>
  <c r="AN115" i="2"/>
  <c r="AS115" i="2"/>
  <c r="AM115" i="2"/>
  <c r="AR115" i="2"/>
  <c r="AL115" i="2"/>
  <c r="AQ115" i="2"/>
  <c r="AP115" i="2"/>
  <c r="AO115" i="2"/>
  <c r="AK115" i="2"/>
  <c r="AI115" i="2"/>
  <c r="AG115" i="2"/>
  <c r="AD115" i="2"/>
  <c r="AA115" i="2"/>
  <c r="Y115" i="2"/>
  <c r="W115" i="2"/>
  <c r="U115" i="2"/>
  <c r="R115" i="2"/>
  <c r="O115" i="2"/>
  <c r="M115" i="2"/>
  <c r="L115" i="2"/>
  <c r="K115" i="2"/>
  <c r="I115" i="2"/>
  <c r="F115" i="2"/>
  <c r="C115" i="2"/>
  <c r="Y117" i="4"/>
  <c r="W117" i="4"/>
  <c r="X117" i="4"/>
  <c r="T117" i="4"/>
  <c r="Q117" i="4"/>
  <c r="N117" i="4"/>
  <c r="E117" i="4"/>
  <c r="AT116" i="2"/>
  <c r="AN116" i="2"/>
  <c r="AS116" i="2"/>
  <c r="AM116" i="2"/>
  <c r="AR116" i="2"/>
  <c r="AQ116" i="2"/>
  <c r="AP116" i="2"/>
  <c r="AL116" i="2"/>
  <c r="AK116" i="2"/>
  <c r="AI116" i="2"/>
  <c r="AG116" i="2"/>
  <c r="AD116" i="2"/>
  <c r="AA116" i="2"/>
  <c r="Y116" i="2"/>
  <c r="W116" i="2"/>
  <c r="X116" i="2"/>
  <c r="U116" i="2"/>
  <c r="R116" i="2"/>
  <c r="O116" i="2"/>
  <c r="M116" i="2"/>
  <c r="K116" i="2"/>
  <c r="L116" i="2"/>
  <c r="I116" i="2"/>
  <c r="F116" i="2"/>
  <c r="C116" i="2"/>
  <c r="AO118" i="4"/>
  <c r="AK118" i="4"/>
  <c r="Y118" i="4"/>
  <c r="M118" i="4"/>
  <c r="AI118" i="4"/>
  <c r="W118" i="4"/>
  <c r="K118" i="4"/>
  <c r="L118" i="4"/>
  <c r="AF118" i="4"/>
  <c r="AC118" i="4"/>
  <c r="Z118" i="4"/>
  <c r="T118" i="4"/>
  <c r="Q118" i="4"/>
  <c r="N118" i="4"/>
  <c r="H118" i="4"/>
  <c r="E118" i="4"/>
  <c r="B118" i="4"/>
  <c r="AF121" i="4"/>
  <c r="AC121" i="4"/>
  <c r="Z121" i="4"/>
  <c r="AF120" i="4"/>
  <c r="AC120" i="4"/>
  <c r="Z120" i="4"/>
  <c r="AT117" i="2"/>
  <c r="AN117" i="2"/>
  <c r="AS117" i="2"/>
  <c r="AR117" i="2"/>
  <c r="AL117" i="2"/>
  <c r="AQ117" i="2"/>
  <c r="AP117" i="2"/>
  <c r="AO117" i="2"/>
  <c r="AM117" i="2"/>
  <c r="AK117" i="2"/>
  <c r="AJ117" i="2"/>
  <c r="AI117" i="2"/>
  <c r="AG117" i="2"/>
  <c r="AD117" i="2"/>
  <c r="AA117" i="2"/>
  <c r="Y117" i="2"/>
  <c r="W117" i="2"/>
  <c r="X117" i="2"/>
  <c r="U117" i="2"/>
  <c r="R117" i="2"/>
  <c r="O117" i="2"/>
  <c r="M117" i="2"/>
  <c r="L117" i="2"/>
  <c r="K117" i="2"/>
  <c r="I117" i="2"/>
  <c r="F117" i="2"/>
  <c r="C117" i="2"/>
  <c r="AO119" i="4"/>
  <c r="AK119" i="4"/>
  <c r="AI119" i="4"/>
  <c r="AJ119" i="4"/>
  <c r="Y119" i="4"/>
  <c r="M119" i="4"/>
  <c r="L119" i="4"/>
  <c r="W119" i="4"/>
  <c r="K119" i="4"/>
  <c r="AF119" i="4"/>
  <c r="AC119" i="4"/>
  <c r="Z119" i="4"/>
  <c r="T119" i="4"/>
  <c r="Q119" i="4"/>
  <c r="N119" i="4"/>
  <c r="H119" i="4"/>
  <c r="E119" i="4"/>
  <c r="B119" i="4"/>
  <c r="AO120" i="4"/>
  <c r="AK120" i="4"/>
  <c r="AN120" i="4"/>
  <c r="AM120" i="4"/>
  <c r="Y120" i="4"/>
  <c r="M120" i="4"/>
  <c r="L120" i="4"/>
  <c r="AI120" i="4"/>
  <c r="W120" i="4"/>
  <c r="X120" i="4"/>
  <c r="K120" i="4"/>
  <c r="T120" i="4"/>
  <c r="Q120" i="4"/>
  <c r="N120" i="4"/>
  <c r="H120" i="4"/>
  <c r="E120" i="4"/>
  <c r="B120" i="4"/>
  <c r="AT118" i="2"/>
  <c r="AN118" i="2"/>
  <c r="AS118" i="2"/>
  <c r="AM118" i="2"/>
  <c r="AR118" i="2"/>
  <c r="AL118" i="2"/>
  <c r="AQ118" i="2"/>
  <c r="AP118" i="2"/>
  <c r="AK118" i="2"/>
  <c r="AI118" i="2"/>
  <c r="AJ118" i="2"/>
  <c r="AG118" i="2"/>
  <c r="AD118" i="2"/>
  <c r="AA118" i="2"/>
  <c r="Y118" i="2"/>
  <c r="X118" i="2"/>
  <c r="W118" i="2"/>
  <c r="U118" i="2"/>
  <c r="R118" i="2"/>
  <c r="O118" i="2"/>
  <c r="M118" i="2"/>
  <c r="K118" i="2"/>
  <c r="I118" i="2"/>
  <c r="F118" i="2"/>
  <c r="C118" i="2"/>
  <c r="AT120" i="2"/>
  <c r="AS120" i="2"/>
  <c r="AM120" i="2"/>
  <c r="AR120" i="2"/>
  <c r="AL120" i="2"/>
  <c r="AQ120" i="2"/>
  <c r="AP120" i="2"/>
  <c r="AO120" i="2"/>
  <c r="AN120" i="2"/>
  <c r="AK120" i="2"/>
  <c r="AI120" i="2"/>
  <c r="AJ120" i="2"/>
  <c r="AG120" i="2"/>
  <c r="AD120" i="2"/>
  <c r="AA120" i="2"/>
  <c r="Y120" i="2"/>
  <c r="W120" i="2"/>
  <c r="U120" i="2"/>
  <c r="R120" i="2"/>
  <c r="O120" i="2"/>
  <c r="M120" i="2"/>
  <c r="K120" i="2"/>
  <c r="L120" i="2"/>
  <c r="I120" i="2"/>
  <c r="F120" i="2"/>
  <c r="C120" i="2"/>
  <c r="AT119" i="2"/>
  <c r="AN119" i="2"/>
  <c r="AS119" i="2"/>
  <c r="AM119" i="2"/>
  <c r="AR119" i="2"/>
  <c r="AL119" i="2"/>
  <c r="AQ119" i="2"/>
  <c r="AP119" i="2"/>
  <c r="AO119" i="2"/>
  <c r="AK119" i="2"/>
  <c r="AI119" i="2"/>
  <c r="AJ119" i="2"/>
  <c r="AG119" i="2"/>
  <c r="AD119" i="2"/>
  <c r="AA119" i="2"/>
  <c r="Y119" i="2"/>
  <c r="W119" i="2"/>
  <c r="X119" i="2"/>
  <c r="U119" i="2"/>
  <c r="R119" i="2"/>
  <c r="O119" i="2"/>
  <c r="M119" i="2"/>
  <c r="L119" i="2"/>
  <c r="K119" i="2"/>
  <c r="I119" i="2"/>
  <c r="F119" i="2"/>
  <c r="C119" i="2"/>
  <c r="AO121" i="4"/>
  <c r="AK121" i="4"/>
  <c r="AJ121" i="4"/>
  <c r="Y121" i="4"/>
  <c r="M121" i="4"/>
  <c r="L121" i="4"/>
  <c r="AI121" i="4"/>
  <c r="W121" i="4"/>
  <c r="K121" i="4"/>
  <c r="T121" i="4"/>
  <c r="Q121" i="4"/>
  <c r="N121" i="4"/>
  <c r="H121" i="4"/>
  <c r="E121" i="4"/>
  <c r="B121" i="4"/>
  <c r="AO122" i="4"/>
  <c r="AK122" i="4"/>
  <c r="Y122" i="4"/>
  <c r="M122" i="4"/>
  <c r="L122" i="4"/>
  <c r="K122" i="4"/>
  <c r="AI122" i="4"/>
  <c r="AJ122" i="4"/>
  <c r="W122" i="4"/>
  <c r="AF122" i="4"/>
  <c r="AC122" i="4"/>
  <c r="Z122" i="4"/>
  <c r="T122" i="4"/>
  <c r="Q122" i="4"/>
  <c r="N122" i="4"/>
  <c r="H122" i="4"/>
  <c r="E122" i="4"/>
  <c r="B122" i="4"/>
  <c r="AT121" i="2"/>
  <c r="AN121" i="2"/>
  <c r="AS121" i="2"/>
  <c r="AM121" i="2"/>
  <c r="AR121" i="2"/>
  <c r="AL121" i="2"/>
  <c r="AQ121" i="2"/>
  <c r="AO121" i="2"/>
  <c r="AP121" i="2"/>
  <c r="AK121" i="2"/>
  <c r="AI121" i="2"/>
  <c r="AJ121" i="2"/>
  <c r="AG121" i="2"/>
  <c r="AD121" i="2"/>
  <c r="AA121" i="2"/>
  <c r="Y121" i="2"/>
  <c r="W121" i="2"/>
  <c r="X121" i="2"/>
  <c r="U121" i="2"/>
  <c r="R121" i="2"/>
  <c r="O121" i="2"/>
  <c r="M121" i="2"/>
  <c r="K121" i="2"/>
  <c r="I121" i="2"/>
  <c r="F121" i="2"/>
  <c r="C121" i="2"/>
  <c r="AO123" i="4"/>
  <c r="AK123" i="4"/>
  <c r="AN123" i="4"/>
  <c r="Y123" i="4"/>
  <c r="M123" i="4"/>
  <c r="AI123" i="4"/>
  <c r="AL123" i="4"/>
  <c r="AM123" i="4"/>
  <c r="W123" i="4"/>
  <c r="K123" i="4"/>
  <c r="AF123" i="4"/>
  <c r="AC123" i="4"/>
  <c r="Z123" i="4"/>
  <c r="T123" i="4"/>
  <c r="Q123" i="4"/>
  <c r="N123" i="4"/>
  <c r="H123" i="4"/>
  <c r="E123" i="4"/>
  <c r="B123" i="4"/>
  <c r="D124" i="4"/>
  <c r="AB124" i="4"/>
  <c r="Y124" i="4"/>
  <c r="AI124" i="4"/>
  <c r="W124" i="4"/>
  <c r="AL124" i="4"/>
  <c r="K124" i="4"/>
  <c r="AF124" i="4"/>
  <c r="AC124" i="4"/>
  <c r="T124" i="4"/>
  <c r="Q124" i="4"/>
  <c r="N124" i="4"/>
  <c r="AT122" i="2"/>
  <c r="AN122" i="2"/>
  <c r="AS122" i="2"/>
  <c r="AM122" i="2"/>
  <c r="AR122" i="2"/>
  <c r="AL122" i="2"/>
  <c r="AQ122" i="2"/>
  <c r="AO122" i="2"/>
  <c r="AP122" i="2"/>
  <c r="AK122" i="2"/>
  <c r="AI122" i="2"/>
  <c r="AJ122" i="2"/>
  <c r="AG122" i="2"/>
  <c r="AD122" i="2"/>
  <c r="AA122" i="2"/>
  <c r="Y122" i="2"/>
  <c r="W122" i="2"/>
  <c r="X122" i="2"/>
  <c r="U122" i="2"/>
  <c r="R122" i="2"/>
  <c r="O122" i="2"/>
  <c r="M122" i="2"/>
  <c r="K122" i="2"/>
  <c r="I122" i="2"/>
  <c r="F122" i="2"/>
  <c r="C122" i="2"/>
  <c r="AT124" i="2"/>
  <c r="AN124" i="2"/>
  <c r="AS124" i="2"/>
  <c r="AM124" i="2"/>
  <c r="AR124" i="2"/>
  <c r="AL124" i="2"/>
  <c r="AQ124" i="2"/>
  <c r="AP124" i="2"/>
  <c r="AK124" i="2"/>
  <c r="AI124" i="2"/>
  <c r="AJ124" i="2"/>
  <c r="AG124" i="2"/>
  <c r="AD124" i="2"/>
  <c r="AA124" i="2"/>
  <c r="Y124" i="2"/>
  <c r="W124" i="2"/>
  <c r="X124" i="2"/>
  <c r="U124" i="2"/>
  <c r="R124" i="2"/>
  <c r="O124" i="2"/>
  <c r="M124" i="2"/>
  <c r="L124" i="2"/>
  <c r="K124" i="2"/>
  <c r="I124" i="2"/>
  <c r="F124" i="2"/>
  <c r="C124" i="2"/>
  <c r="M125" i="4"/>
  <c r="K125" i="4"/>
  <c r="AA125" i="4"/>
  <c r="Y125" i="4"/>
  <c r="AK125" i="4"/>
  <c r="W125" i="4"/>
  <c r="AF125" i="4"/>
  <c r="AC125" i="4"/>
  <c r="T125" i="4"/>
  <c r="Q125" i="4"/>
  <c r="N125" i="4"/>
  <c r="H125" i="4"/>
  <c r="E125" i="4"/>
  <c r="B125" i="4"/>
  <c r="AT123" i="2"/>
  <c r="AN123" i="2"/>
  <c r="AS123" i="2"/>
  <c r="AM123" i="2"/>
  <c r="AR123" i="2"/>
  <c r="AL123" i="2"/>
  <c r="AQ123" i="2"/>
  <c r="AP123" i="2"/>
  <c r="AO123" i="2"/>
  <c r="AK123" i="2"/>
  <c r="AI123" i="2"/>
  <c r="AJ123" i="2"/>
  <c r="AG123" i="2"/>
  <c r="AD123" i="2"/>
  <c r="AA123" i="2"/>
  <c r="Y123" i="2"/>
  <c r="W123" i="2"/>
  <c r="U123" i="2"/>
  <c r="R123" i="2"/>
  <c r="O123" i="2"/>
  <c r="M123" i="2"/>
  <c r="K123" i="2"/>
  <c r="L123" i="2"/>
  <c r="I123" i="2"/>
  <c r="F123" i="2"/>
  <c r="C123" i="2"/>
  <c r="AO126" i="4"/>
  <c r="AK126" i="4"/>
  <c r="Y126" i="4"/>
  <c r="W126" i="4"/>
  <c r="X126" i="4"/>
  <c r="M126" i="4"/>
  <c r="K126" i="4"/>
  <c r="AC126" i="4"/>
  <c r="Z126" i="4"/>
  <c r="T126" i="4"/>
  <c r="Q126" i="4"/>
  <c r="N126" i="4"/>
  <c r="H126" i="4"/>
  <c r="E126" i="4"/>
  <c r="B126" i="4"/>
  <c r="AT126" i="2"/>
  <c r="AN126" i="2"/>
  <c r="AS126" i="2"/>
  <c r="AM126" i="2"/>
  <c r="AR126" i="2"/>
  <c r="AL126" i="2"/>
  <c r="AQ126" i="2"/>
  <c r="AP126" i="2"/>
  <c r="AO126" i="2"/>
  <c r="AK126" i="2"/>
  <c r="AI126" i="2"/>
  <c r="AG126" i="2"/>
  <c r="AD126" i="2"/>
  <c r="AA126" i="2"/>
  <c r="Y126" i="2"/>
  <c r="W126" i="2"/>
  <c r="U126" i="2"/>
  <c r="R126" i="2"/>
  <c r="O126" i="2"/>
  <c r="M126" i="2"/>
  <c r="K126" i="2"/>
  <c r="L126" i="2"/>
  <c r="I126" i="2"/>
  <c r="F126" i="2"/>
  <c r="C126" i="2"/>
  <c r="AO127" i="4"/>
  <c r="AK127" i="4"/>
  <c r="Y127" i="4"/>
  <c r="W127" i="4"/>
  <c r="M127" i="4"/>
  <c r="L127" i="4"/>
  <c r="AI127" i="4"/>
  <c r="AJ127" i="4"/>
  <c r="K127" i="4"/>
  <c r="AF127" i="4"/>
  <c r="AC127" i="4"/>
  <c r="Z127" i="4"/>
  <c r="T127" i="4"/>
  <c r="Q127" i="4"/>
  <c r="N127" i="4"/>
  <c r="H127" i="4"/>
  <c r="E127" i="4"/>
  <c r="B127" i="4"/>
  <c r="AB128" i="4"/>
  <c r="AK128" i="4"/>
  <c r="Y128" i="4"/>
  <c r="AN128" i="4"/>
  <c r="M128" i="4"/>
  <c r="AT125" i="2"/>
  <c r="AN125" i="2"/>
  <c r="AS125" i="2"/>
  <c r="AM125" i="2"/>
  <c r="AR125" i="2"/>
  <c r="AQ125" i="2"/>
  <c r="AO125" i="2"/>
  <c r="AP125" i="2"/>
  <c r="AL125" i="2"/>
  <c r="AK125" i="2"/>
  <c r="AJ125" i="2"/>
  <c r="AI125" i="2"/>
  <c r="AG125" i="2"/>
  <c r="AD125" i="2"/>
  <c r="AA125" i="2"/>
  <c r="Y125" i="2"/>
  <c r="X125" i="2"/>
  <c r="W125" i="2"/>
  <c r="U125" i="2"/>
  <c r="R125" i="2"/>
  <c r="O125" i="2"/>
  <c r="M125" i="2"/>
  <c r="L125" i="2"/>
  <c r="K125" i="2"/>
  <c r="I125" i="2"/>
  <c r="F125" i="2"/>
  <c r="C125" i="2"/>
  <c r="AO128" i="4"/>
  <c r="AI128" i="4"/>
  <c r="W128" i="4"/>
  <c r="K128" i="4"/>
  <c r="AF128" i="4"/>
  <c r="AC128" i="4"/>
  <c r="Z128" i="4"/>
  <c r="T128" i="4"/>
  <c r="Q128" i="4"/>
  <c r="N128" i="4"/>
  <c r="H128" i="4"/>
  <c r="E128" i="4"/>
  <c r="B128" i="4"/>
  <c r="AO129" i="4"/>
  <c r="AK129" i="4"/>
  <c r="Y129" i="4"/>
  <c r="M129" i="4"/>
  <c r="L129" i="4"/>
  <c r="W129" i="4"/>
  <c r="X129" i="4"/>
  <c r="K129" i="4"/>
  <c r="AC129" i="4"/>
  <c r="Z129" i="4"/>
  <c r="T129" i="4"/>
  <c r="Q129" i="4"/>
  <c r="N129" i="4"/>
  <c r="H129" i="4"/>
  <c r="E129" i="4"/>
  <c r="B129" i="4"/>
  <c r="AT127" i="2"/>
  <c r="AN127" i="2"/>
  <c r="AS127" i="2"/>
  <c r="AM127" i="2"/>
  <c r="AR127" i="2"/>
  <c r="AQ127" i="2"/>
  <c r="AO127" i="2"/>
  <c r="AP127" i="2"/>
  <c r="AL127" i="2"/>
  <c r="AK127" i="2"/>
  <c r="AI127" i="2"/>
  <c r="AG127" i="2"/>
  <c r="AD127" i="2"/>
  <c r="AA127" i="2"/>
  <c r="Y127" i="2"/>
  <c r="W127" i="2"/>
  <c r="X127" i="2"/>
  <c r="U127" i="2"/>
  <c r="R127" i="2"/>
  <c r="O127" i="2"/>
  <c r="M127" i="2"/>
  <c r="K127" i="2"/>
  <c r="L127" i="2"/>
  <c r="I127" i="2"/>
  <c r="F127" i="2"/>
  <c r="C127" i="2"/>
  <c r="AO130" i="4"/>
  <c r="AK130" i="4"/>
  <c r="Y130" i="4"/>
  <c r="M130" i="4"/>
  <c r="AI130" i="4"/>
  <c r="AJ130" i="4"/>
  <c r="W130" i="4"/>
  <c r="K130" i="4"/>
  <c r="AF130" i="4"/>
  <c r="AC130" i="4"/>
  <c r="Z130" i="4"/>
  <c r="T130" i="4"/>
  <c r="Q130" i="4"/>
  <c r="N130" i="4"/>
  <c r="H130" i="4"/>
  <c r="E130" i="4"/>
  <c r="B130" i="4"/>
  <c r="AT128" i="2"/>
  <c r="AN128" i="2"/>
  <c r="AS128" i="2"/>
  <c r="AM128" i="2"/>
  <c r="AR128" i="2"/>
  <c r="AL128" i="2"/>
  <c r="AQ128" i="2"/>
  <c r="AO128" i="2"/>
  <c r="AP128" i="2"/>
  <c r="AK128" i="2"/>
  <c r="AI128" i="2"/>
  <c r="AJ128" i="2"/>
  <c r="AG128" i="2"/>
  <c r="AD128" i="2"/>
  <c r="AA128" i="2"/>
  <c r="Y128" i="2"/>
  <c r="W128" i="2"/>
  <c r="X128" i="2"/>
  <c r="U128" i="2"/>
  <c r="R128" i="2"/>
  <c r="O128" i="2"/>
  <c r="M128" i="2"/>
  <c r="L128" i="2"/>
  <c r="K128" i="2"/>
  <c r="I128" i="2"/>
  <c r="F128" i="2"/>
  <c r="C128" i="2"/>
  <c r="AO131" i="4"/>
  <c r="AK131" i="4"/>
  <c r="Y131" i="4"/>
  <c r="AN131" i="4"/>
  <c r="M131" i="4"/>
  <c r="L131" i="4"/>
  <c r="AI131" i="4"/>
  <c r="W131" i="4"/>
  <c r="X131" i="4"/>
  <c r="K131" i="4"/>
  <c r="AF131" i="4"/>
  <c r="AC131" i="4"/>
  <c r="Z131" i="4"/>
  <c r="T131" i="4"/>
  <c r="Q131" i="4"/>
  <c r="N131" i="4"/>
  <c r="H131" i="4"/>
  <c r="E131" i="4"/>
  <c r="B131" i="4"/>
  <c r="AT129" i="2"/>
  <c r="AN129" i="2"/>
  <c r="AS129" i="2"/>
  <c r="AM129" i="2"/>
  <c r="AR129" i="2"/>
  <c r="AL129" i="2"/>
  <c r="AQ129" i="2"/>
  <c r="AP129" i="2"/>
  <c r="AO129" i="2"/>
  <c r="AK129" i="2"/>
  <c r="AI129" i="2"/>
  <c r="AG129" i="2"/>
  <c r="AD129" i="2"/>
  <c r="AA129" i="2"/>
  <c r="Y129" i="2"/>
  <c r="W129" i="2"/>
  <c r="U129" i="2"/>
  <c r="R129" i="2"/>
  <c r="O129" i="2"/>
  <c r="M129" i="2"/>
  <c r="K129" i="2"/>
  <c r="L129" i="2"/>
  <c r="I129" i="2"/>
  <c r="F129" i="2"/>
  <c r="C129" i="2"/>
  <c r="AO132" i="4"/>
  <c r="AO133" i="4"/>
  <c r="AA134" i="4"/>
  <c r="Z134" i="4"/>
  <c r="AB134" i="4"/>
  <c r="AA135" i="4"/>
  <c r="C135" i="4"/>
  <c r="D135" i="4"/>
  <c r="M135" i="4"/>
  <c r="AO136" i="4"/>
  <c r="AO137" i="4"/>
  <c r="AO138" i="4"/>
  <c r="AO139" i="4"/>
  <c r="AO140" i="4"/>
  <c r="AO141" i="4"/>
  <c r="AO142" i="4"/>
  <c r="AO143" i="4"/>
  <c r="AO144" i="4"/>
  <c r="AO145" i="4"/>
  <c r="AO146" i="4"/>
  <c r="AO147" i="4"/>
  <c r="AO148" i="4"/>
  <c r="AO149" i="4"/>
  <c r="AO150" i="4"/>
  <c r="AA151" i="4"/>
  <c r="AB151" i="4"/>
  <c r="AK151" i="4"/>
  <c r="AO152" i="4"/>
  <c r="AO153" i="4"/>
  <c r="AO154" i="4"/>
  <c r="AO155" i="4"/>
  <c r="AO156" i="4"/>
  <c r="AO157" i="4"/>
  <c r="AO158" i="4"/>
  <c r="AO159" i="4"/>
  <c r="AO160" i="4"/>
  <c r="AO161" i="4"/>
  <c r="AO162" i="4"/>
  <c r="AO163" i="4"/>
  <c r="AO164" i="4"/>
  <c r="AO165" i="4"/>
  <c r="AO166" i="4"/>
  <c r="AO167" i="4"/>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P233" i="2"/>
  <c r="O233" i="2"/>
  <c r="P232" i="2"/>
  <c r="O232" i="2"/>
  <c r="P231" i="2"/>
  <c r="P230" i="2"/>
  <c r="O230" i="2"/>
  <c r="P229" i="2"/>
  <c r="O229" i="2"/>
  <c r="P228" i="2"/>
  <c r="O228" i="2"/>
  <c r="P227" i="2"/>
  <c r="Y227" i="2"/>
  <c r="P226" i="2"/>
  <c r="O226" i="2"/>
  <c r="P225" i="2"/>
  <c r="O225" i="2"/>
  <c r="P224" i="2"/>
  <c r="O224" i="2"/>
  <c r="P223" i="2"/>
  <c r="O223" i="2"/>
  <c r="P222" i="2"/>
  <c r="O222" i="2"/>
  <c r="P221" i="2"/>
  <c r="O221" i="2"/>
  <c r="P220" i="2"/>
  <c r="O220" i="2"/>
  <c r="P219" i="2"/>
  <c r="P218" i="2"/>
  <c r="O218" i="2"/>
  <c r="P217" i="2"/>
  <c r="O217" i="2"/>
  <c r="P216" i="2"/>
  <c r="O216" i="2"/>
  <c r="P215" i="2"/>
  <c r="Y215" i="2"/>
  <c r="P214" i="2"/>
  <c r="O214" i="2"/>
  <c r="P213" i="2"/>
  <c r="O213" i="2"/>
  <c r="P212" i="2"/>
  <c r="P211" i="2"/>
  <c r="Y211" i="2"/>
  <c r="O211" i="2"/>
  <c r="P210" i="2"/>
  <c r="O210" i="2"/>
  <c r="P209" i="2"/>
  <c r="O209" i="2"/>
  <c r="P208" i="2"/>
  <c r="O208" i="2"/>
  <c r="P207" i="2"/>
  <c r="O207" i="2"/>
  <c r="W207" i="2"/>
  <c r="P206" i="2"/>
  <c r="O206" i="2"/>
  <c r="P205" i="2"/>
  <c r="O205" i="2"/>
  <c r="P204" i="2"/>
  <c r="O204" i="2"/>
  <c r="P203" i="2"/>
  <c r="Y203" i="2"/>
  <c r="P202" i="2"/>
  <c r="Y202" i="2"/>
  <c r="W202" i="2"/>
  <c r="X202" i="2"/>
  <c r="P201" i="2"/>
  <c r="O201" i="2"/>
  <c r="P200" i="2"/>
  <c r="Y200" i="2"/>
  <c r="P199" i="2"/>
  <c r="Y199" i="2"/>
  <c r="O199" i="2"/>
  <c r="P198" i="2"/>
  <c r="O198" i="2"/>
  <c r="P197" i="2"/>
  <c r="O197" i="2"/>
  <c r="P196" i="2"/>
  <c r="O196" i="2"/>
  <c r="P195" i="2"/>
  <c r="O195" i="2"/>
  <c r="Y195" i="2"/>
  <c r="P194" i="2"/>
  <c r="O194" i="2"/>
  <c r="P193" i="2"/>
  <c r="O193" i="2"/>
  <c r="P192" i="2"/>
  <c r="O192" i="2"/>
  <c r="P191" i="2"/>
  <c r="Y191" i="2"/>
  <c r="P190" i="2"/>
  <c r="Y190" i="2"/>
  <c r="W190" i="2"/>
  <c r="X190" i="2"/>
  <c r="P189" i="2"/>
  <c r="O189" i="2"/>
  <c r="P188" i="2"/>
  <c r="O188" i="2"/>
  <c r="P187" i="2"/>
  <c r="Y187" i="2"/>
  <c r="P186" i="2"/>
  <c r="O186" i="2"/>
  <c r="P185" i="2"/>
  <c r="O185" i="2"/>
  <c r="Y185" i="2"/>
  <c r="X185" i="2"/>
  <c r="P184" i="2"/>
  <c r="O184" i="2"/>
  <c r="P183" i="2"/>
  <c r="Y183" i="2"/>
  <c r="O183" i="2"/>
  <c r="P182" i="2"/>
  <c r="O182" i="2"/>
  <c r="P181" i="2"/>
  <c r="O181" i="2"/>
  <c r="P180" i="2"/>
  <c r="O180" i="2"/>
  <c r="P179" i="2"/>
  <c r="O179" i="2"/>
  <c r="P178" i="2"/>
  <c r="O178" i="2"/>
  <c r="P177" i="2"/>
  <c r="O177" i="2"/>
  <c r="P176" i="2"/>
  <c r="O176" i="2"/>
  <c r="P175" i="2"/>
  <c r="O175" i="2"/>
  <c r="P174" i="2"/>
  <c r="O174" i="2"/>
  <c r="P173" i="2"/>
  <c r="O173" i="2"/>
  <c r="P172" i="2"/>
  <c r="O172" i="2"/>
  <c r="P171" i="2"/>
  <c r="Y171" i="2"/>
  <c r="O171" i="2"/>
  <c r="P170" i="2"/>
  <c r="Y170" i="2"/>
  <c r="P169" i="2"/>
  <c r="O169" i="2"/>
  <c r="P168" i="2"/>
  <c r="P167" i="2"/>
  <c r="O167" i="2"/>
  <c r="Y167" i="2"/>
  <c r="X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R130" i="2"/>
  <c r="F130" i="2"/>
  <c r="AT130" i="2"/>
  <c r="AN130" i="2"/>
  <c r="AS130" i="2"/>
  <c r="AR130" i="2"/>
  <c r="AL130" i="2"/>
  <c r="AQ130" i="2"/>
  <c r="AP130" i="2"/>
  <c r="AO130" i="2"/>
  <c r="AM130" i="2"/>
  <c r="AK130" i="2"/>
  <c r="AJ130" i="2"/>
  <c r="AI130" i="2"/>
  <c r="AG130" i="2"/>
  <c r="AD130" i="2"/>
  <c r="AA130" i="2"/>
  <c r="Y130" i="2"/>
  <c r="W130" i="2"/>
  <c r="U130" i="2"/>
  <c r="M130" i="2"/>
  <c r="K130" i="2"/>
  <c r="L130" i="2"/>
  <c r="I130" i="2"/>
  <c r="C130" i="2"/>
  <c r="AK132" i="4"/>
  <c r="Y132" i="4"/>
  <c r="M132" i="4"/>
  <c r="AI132" i="4"/>
  <c r="AL132" i="4"/>
  <c r="AM132" i="4"/>
  <c r="W132" i="4"/>
  <c r="K132" i="4"/>
  <c r="L132" i="4"/>
  <c r="AF132" i="4"/>
  <c r="AC132" i="4"/>
  <c r="Z132" i="4"/>
  <c r="T132" i="4"/>
  <c r="Q132" i="4"/>
  <c r="N132" i="4"/>
  <c r="H132" i="4"/>
  <c r="E132" i="4"/>
  <c r="B132" i="4"/>
  <c r="AT131" i="2"/>
  <c r="AN131" i="2"/>
  <c r="AS131" i="2"/>
  <c r="AM131" i="2"/>
  <c r="AR131" i="2"/>
  <c r="AL131" i="2"/>
  <c r="AQ131" i="2"/>
  <c r="AP131" i="2"/>
  <c r="AO131" i="2"/>
  <c r="AK131" i="2"/>
  <c r="AI131" i="2"/>
  <c r="AJ131" i="2"/>
  <c r="AG131" i="2"/>
  <c r="AD131" i="2"/>
  <c r="AA131" i="2"/>
  <c r="Y131" i="2"/>
  <c r="W131" i="2"/>
  <c r="X131" i="2"/>
  <c r="U131" i="2"/>
  <c r="M131" i="2"/>
  <c r="L131" i="2"/>
  <c r="K131" i="2"/>
  <c r="I131" i="2"/>
  <c r="F131" i="2"/>
  <c r="C131" i="2"/>
  <c r="AK133" i="4"/>
  <c r="AN133" i="4"/>
  <c r="Y133" i="4"/>
  <c r="M133" i="4"/>
  <c r="AI133" i="4"/>
  <c r="W133" i="4"/>
  <c r="X133" i="4"/>
  <c r="K133" i="4"/>
  <c r="AF133" i="4"/>
  <c r="AC133" i="4"/>
  <c r="Z133" i="4"/>
  <c r="T133" i="4"/>
  <c r="Q133" i="4"/>
  <c r="N133" i="4"/>
  <c r="H133" i="4"/>
  <c r="E133" i="4"/>
  <c r="B133" i="4"/>
  <c r="AD132" i="2"/>
  <c r="AT132" i="2"/>
  <c r="AN132" i="2"/>
  <c r="AS132" i="2"/>
  <c r="AM132" i="2"/>
  <c r="AR132" i="2"/>
  <c r="AL132" i="2"/>
  <c r="AQ132" i="2"/>
  <c r="AO132" i="2"/>
  <c r="AP132" i="2"/>
  <c r="AK132" i="2"/>
  <c r="AI132" i="2"/>
  <c r="AJ132" i="2"/>
  <c r="AG132" i="2"/>
  <c r="AA132" i="2"/>
  <c r="Y132" i="2"/>
  <c r="W132" i="2"/>
  <c r="U132" i="2"/>
  <c r="M132" i="2"/>
  <c r="K132" i="2"/>
  <c r="I132" i="2"/>
  <c r="F132" i="2"/>
  <c r="C132" i="2"/>
  <c r="Y134" i="4"/>
  <c r="W134" i="4"/>
  <c r="X134" i="4"/>
  <c r="M134" i="4"/>
  <c r="L134" i="4"/>
  <c r="K134" i="4"/>
  <c r="T134" i="4"/>
  <c r="Q134" i="4"/>
  <c r="N134" i="4"/>
  <c r="H134" i="4"/>
  <c r="E134" i="4"/>
  <c r="B134" i="4"/>
  <c r="K133" i="2"/>
  <c r="L133" i="2"/>
  <c r="M133" i="2"/>
  <c r="K134" i="2"/>
  <c r="L134" i="2"/>
  <c r="M134" i="2"/>
  <c r="K135" i="2"/>
  <c r="K136" i="2"/>
  <c r="M135" i="2"/>
  <c r="L135" i="2"/>
  <c r="M136" i="2"/>
  <c r="L136" i="2"/>
  <c r="AT133" i="2"/>
  <c r="AN133" i="2"/>
  <c r="AS133" i="2"/>
  <c r="AR133" i="2"/>
  <c r="AL133" i="2"/>
  <c r="AQ133" i="2"/>
  <c r="AP133" i="2"/>
  <c r="AM133" i="2"/>
  <c r="AK133" i="2"/>
  <c r="AI133" i="2"/>
  <c r="AJ133" i="2"/>
  <c r="AG133" i="2"/>
  <c r="AD133" i="2"/>
  <c r="AA133" i="2"/>
  <c r="Y133" i="2"/>
  <c r="W133" i="2"/>
  <c r="U133" i="2"/>
  <c r="I133" i="2"/>
  <c r="F133" i="2"/>
  <c r="C133" i="2"/>
  <c r="E135" i="4"/>
  <c r="H135" i="4"/>
  <c r="K135" i="4"/>
  <c r="N135" i="4"/>
  <c r="Q135" i="4"/>
  <c r="T135" i="4"/>
  <c r="W135" i="4"/>
  <c r="X135" i="4"/>
  <c r="Y135" i="4"/>
  <c r="Y137" i="4"/>
  <c r="H136" i="4"/>
  <c r="AK136" i="4"/>
  <c r="AN136" i="4"/>
  <c r="AI136" i="4"/>
  <c r="Z136" i="4"/>
  <c r="AC136" i="4"/>
  <c r="AF136" i="4"/>
  <c r="AT134" i="2"/>
  <c r="AN134" i="2"/>
  <c r="AS134" i="2"/>
  <c r="AM134" i="2"/>
  <c r="AR134" i="2"/>
  <c r="AL134" i="2"/>
  <c r="AQ134" i="2"/>
  <c r="AP134" i="2"/>
  <c r="AO134" i="2"/>
  <c r="AG135" i="2"/>
  <c r="AG134" i="2"/>
  <c r="AK134" i="2"/>
  <c r="AJ134" i="2"/>
  <c r="AI134" i="2"/>
  <c r="AD134" i="2"/>
  <c r="AA134" i="2"/>
  <c r="W135" i="2"/>
  <c r="Y135" i="2"/>
  <c r="X135" i="2"/>
  <c r="W134" i="2"/>
  <c r="Y134" i="2"/>
  <c r="W136" i="4"/>
  <c r="X136" i="4"/>
  <c r="Y136" i="4"/>
  <c r="U135" i="2"/>
  <c r="U134" i="2"/>
  <c r="M136" i="4"/>
  <c r="L136" i="4"/>
  <c r="K136" i="4"/>
  <c r="T137" i="4"/>
  <c r="T136" i="4"/>
  <c r="Q137" i="4"/>
  <c r="Q136" i="4"/>
  <c r="N136" i="4"/>
  <c r="N137" i="4"/>
  <c r="AS135" i="2"/>
  <c r="AM135" i="2"/>
  <c r="AR135" i="2"/>
  <c r="AL135" i="2"/>
  <c r="AT135" i="2"/>
  <c r="AQ135" i="2"/>
  <c r="AP135" i="2"/>
  <c r="AN135" i="2"/>
  <c r="I134" i="2"/>
  <c r="F134" i="2"/>
  <c r="C134" i="2"/>
  <c r="B136" i="4"/>
  <c r="B137" i="4"/>
  <c r="E136" i="4"/>
  <c r="I135" i="2"/>
  <c r="F135" i="2"/>
  <c r="C135" i="2"/>
  <c r="M137" i="4"/>
  <c r="K137" i="4"/>
  <c r="AK135" i="2"/>
  <c r="AI135" i="2"/>
  <c r="AD135" i="2"/>
  <c r="AA135" i="2"/>
  <c r="AK137" i="4"/>
  <c r="AN137" i="4"/>
  <c r="AI137" i="4"/>
  <c r="AJ137" i="4"/>
  <c r="W137" i="4"/>
  <c r="X137" i="4"/>
  <c r="H137" i="4"/>
  <c r="E137" i="4"/>
  <c r="AF137" i="4"/>
  <c r="AC137" i="4"/>
  <c r="Z137" i="4"/>
  <c r="AK138" i="4"/>
  <c r="AI138" i="4"/>
  <c r="AJ138" i="4"/>
  <c r="Y138" i="4"/>
  <c r="AN138" i="4"/>
  <c r="W138" i="4"/>
  <c r="U136" i="2"/>
  <c r="W136" i="2"/>
  <c r="Y136" i="2"/>
  <c r="AT136" i="2"/>
  <c r="AN136" i="2"/>
  <c r="AP136" i="2"/>
  <c r="AQ136" i="2"/>
  <c r="AO136" i="2"/>
  <c r="AS136" i="2"/>
  <c r="AM136" i="2"/>
  <c r="AR136" i="2"/>
  <c r="AL136" i="2"/>
  <c r="C136" i="2"/>
  <c r="F136" i="2"/>
  <c r="I136" i="2"/>
  <c r="B138" i="4"/>
  <c r="E138" i="4"/>
  <c r="H138" i="4"/>
  <c r="L138" i="4"/>
  <c r="T138" i="4"/>
  <c r="Q138" i="4"/>
  <c r="N138" i="4"/>
  <c r="AI139" i="4"/>
  <c r="AJ139" i="4"/>
  <c r="W139" i="4"/>
  <c r="K139" i="4"/>
  <c r="L139" i="4"/>
  <c r="AK139" i="4"/>
  <c r="Y139" i="4"/>
  <c r="M139" i="4"/>
  <c r="U137" i="2"/>
  <c r="Y137" i="2"/>
  <c r="W137" i="2"/>
  <c r="X137" i="2"/>
  <c r="AQ137" i="2"/>
  <c r="AP137" i="2"/>
  <c r="AT137" i="2"/>
  <c r="AN137" i="2"/>
  <c r="AS137" i="2"/>
  <c r="AM137" i="2"/>
  <c r="AR137" i="2"/>
  <c r="AL137" i="2"/>
  <c r="T139" i="4"/>
  <c r="Q139" i="4"/>
  <c r="N139" i="4"/>
  <c r="AF138" i="4"/>
  <c r="AC138" i="4"/>
  <c r="Z138" i="4"/>
  <c r="AG136" i="2"/>
  <c r="AK136" i="2"/>
  <c r="AI136" i="2"/>
  <c r="AD136" i="2"/>
  <c r="AA136" i="2"/>
  <c r="I137" i="2"/>
  <c r="M137" i="2"/>
  <c r="K137" i="2"/>
  <c r="L137" i="2"/>
  <c r="F137" i="2"/>
  <c r="C137" i="2"/>
  <c r="H139" i="4"/>
  <c r="E139" i="4"/>
  <c r="B139" i="4"/>
  <c r="AG137" i="2"/>
  <c r="AK137" i="2"/>
  <c r="AI137" i="2"/>
  <c r="AJ137" i="2"/>
  <c r="AD137" i="2"/>
  <c r="AA137" i="2"/>
  <c r="AF139" i="4"/>
  <c r="AC139" i="4"/>
  <c r="Z139" i="4"/>
  <c r="I138" i="2"/>
  <c r="M138" i="2"/>
  <c r="L138" i="2"/>
  <c r="K138" i="2"/>
  <c r="AQ138" i="2"/>
  <c r="AP138" i="2"/>
  <c r="AT138" i="2"/>
  <c r="AN138" i="2"/>
  <c r="F138" i="2"/>
  <c r="AS138" i="2"/>
  <c r="AM138" i="2"/>
  <c r="C138" i="2"/>
  <c r="AR138" i="2"/>
  <c r="AL138" i="2"/>
  <c r="H140" i="4"/>
  <c r="M140" i="4"/>
  <c r="K140" i="4"/>
  <c r="AK140" i="4"/>
  <c r="Y140" i="4"/>
  <c r="AI140" i="4"/>
  <c r="W140" i="4"/>
  <c r="E140" i="4"/>
  <c r="B140" i="4"/>
  <c r="T140" i="4"/>
  <c r="Q140" i="4"/>
  <c r="N140" i="4"/>
  <c r="U138" i="2"/>
  <c r="Y138" i="2"/>
  <c r="W138" i="2"/>
  <c r="AG138" i="2"/>
  <c r="AK138" i="2"/>
  <c r="AI138" i="2"/>
  <c r="AJ138" i="2"/>
  <c r="AD138" i="2"/>
  <c r="AA138" i="2"/>
  <c r="AF140" i="4"/>
  <c r="AC140" i="4"/>
  <c r="Z140" i="4"/>
  <c r="U139" i="2"/>
  <c r="Y139" i="2"/>
  <c r="W139" i="2"/>
  <c r="X139" i="2"/>
  <c r="AQ139" i="2"/>
  <c r="AP139" i="2"/>
  <c r="AT139" i="2"/>
  <c r="AN139" i="2"/>
  <c r="AS139" i="2"/>
  <c r="AM139" i="2"/>
  <c r="AR139" i="2"/>
  <c r="AL139" i="2"/>
  <c r="T141" i="4"/>
  <c r="Y141" i="4"/>
  <c r="W141" i="4"/>
  <c r="X141" i="4"/>
  <c r="AK141" i="4"/>
  <c r="M141" i="4"/>
  <c r="AI141" i="4"/>
  <c r="AJ141" i="4"/>
  <c r="K141" i="4"/>
  <c r="Q141" i="4"/>
  <c r="N141" i="4"/>
  <c r="AF141" i="4"/>
  <c r="AC141" i="4"/>
  <c r="Z141" i="4"/>
  <c r="AG139" i="2"/>
  <c r="AK139" i="2"/>
  <c r="AI139" i="2"/>
  <c r="AD139" i="2"/>
  <c r="AA139" i="2"/>
  <c r="I139" i="2"/>
  <c r="M139" i="2"/>
  <c r="L139" i="2"/>
  <c r="K139" i="2"/>
  <c r="F139" i="2"/>
  <c r="C139" i="2"/>
  <c r="H141" i="4"/>
  <c r="E141" i="4"/>
  <c r="B141" i="4"/>
  <c r="U140" i="2"/>
  <c r="Y140" i="2"/>
  <c r="W140" i="2"/>
  <c r="X140" i="2"/>
  <c r="AQ140" i="2"/>
  <c r="AP140" i="2"/>
  <c r="AO140" i="2"/>
  <c r="AT140" i="2"/>
  <c r="AN140" i="2"/>
  <c r="AS140" i="2"/>
  <c r="AM140" i="2"/>
  <c r="AR140" i="2"/>
  <c r="AL140" i="2"/>
  <c r="T142" i="4"/>
  <c r="Y142" i="4"/>
  <c r="W142" i="4"/>
  <c r="AL142" i="4"/>
  <c r="AK142" i="4"/>
  <c r="M142" i="4"/>
  <c r="AI142" i="4"/>
  <c r="AJ142" i="4"/>
  <c r="K142" i="4"/>
  <c r="Q142" i="4"/>
  <c r="N142" i="4"/>
  <c r="AF142" i="4"/>
  <c r="AC142" i="4"/>
  <c r="Z142" i="4"/>
  <c r="AG140" i="2"/>
  <c r="AK140" i="2"/>
  <c r="AI140" i="2"/>
  <c r="AJ140" i="2"/>
  <c r="AD140" i="2"/>
  <c r="AA140" i="2"/>
  <c r="I140" i="2"/>
  <c r="M140" i="2"/>
  <c r="K140" i="2"/>
  <c r="F140" i="2"/>
  <c r="C140" i="2"/>
  <c r="H142" i="4"/>
  <c r="E142" i="4"/>
  <c r="B142" i="4"/>
  <c r="U141" i="2"/>
  <c r="Y141" i="2"/>
  <c r="X141" i="2"/>
  <c r="W141" i="2"/>
  <c r="AQ141" i="2"/>
  <c r="AP141" i="2"/>
  <c r="AT141" i="2"/>
  <c r="AN141" i="2"/>
  <c r="AS141" i="2"/>
  <c r="AM141" i="2"/>
  <c r="AR141" i="2"/>
  <c r="AL141" i="2"/>
  <c r="T143" i="4"/>
  <c r="W143" i="4"/>
  <c r="X143" i="4"/>
  <c r="Y143" i="4"/>
  <c r="AI143" i="4"/>
  <c r="K143" i="4"/>
  <c r="AK143" i="4"/>
  <c r="AN143" i="4"/>
  <c r="AM143" i="4"/>
  <c r="M143" i="4"/>
  <c r="Q143" i="4"/>
  <c r="N143" i="4"/>
  <c r="AG141" i="2"/>
  <c r="AK141" i="2"/>
  <c r="AI141" i="2"/>
  <c r="AJ141" i="2"/>
  <c r="AD141" i="2"/>
  <c r="AA141" i="2"/>
  <c r="AK144" i="4"/>
  <c r="Y144" i="4"/>
  <c r="M144" i="4"/>
  <c r="K144" i="4"/>
  <c r="L144" i="4"/>
  <c r="AF143" i="4"/>
  <c r="AC143" i="4"/>
  <c r="Z143" i="4"/>
  <c r="I141" i="2"/>
  <c r="M141" i="2"/>
  <c r="K141" i="2"/>
  <c r="L141" i="2"/>
  <c r="F141" i="2"/>
  <c r="C141" i="2"/>
  <c r="H143" i="4"/>
  <c r="E143" i="4"/>
  <c r="B143" i="4"/>
  <c r="U142" i="2"/>
  <c r="Y142" i="2"/>
  <c r="W142" i="2"/>
  <c r="X142" i="2"/>
  <c r="AQ142" i="2"/>
  <c r="AP142" i="2"/>
  <c r="AO142" i="2"/>
  <c r="AT142" i="2"/>
  <c r="AN142" i="2"/>
  <c r="AS142" i="2"/>
  <c r="AM142" i="2"/>
  <c r="AR142" i="2"/>
  <c r="AL142" i="2"/>
  <c r="T144" i="4"/>
  <c r="W144" i="4"/>
  <c r="X144" i="4"/>
  <c r="AI144" i="4"/>
  <c r="Q144" i="4"/>
  <c r="N144" i="4"/>
  <c r="AG142" i="2"/>
  <c r="AK142" i="2"/>
  <c r="AI142" i="2"/>
  <c r="AJ142" i="2"/>
  <c r="AD142" i="2"/>
  <c r="AA142" i="2"/>
  <c r="AF144" i="4"/>
  <c r="AC144" i="4"/>
  <c r="Z144" i="4"/>
  <c r="I142" i="2"/>
  <c r="M142" i="2"/>
  <c r="L142" i="2"/>
  <c r="K142" i="2"/>
  <c r="F142" i="2"/>
  <c r="C142" i="2"/>
  <c r="H144" i="4"/>
  <c r="E144" i="4"/>
  <c r="B144" i="4"/>
  <c r="H146" i="4"/>
  <c r="AR144" i="2"/>
  <c r="AL144" i="2"/>
  <c r="AS144" i="2"/>
  <c r="AM144" i="2"/>
  <c r="AT144" i="2"/>
  <c r="AN144" i="2"/>
  <c r="AP144" i="2"/>
  <c r="AO144" i="2"/>
  <c r="AQ144" i="2"/>
  <c r="AR143" i="2"/>
  <c r="AL143" i="2"/>
  <c r="AS143" i="2"/>
  <c r="AM143" i="2"/>
  <c r="AT143" i="2"/>
  <c r="AN143" i="2"/>
  <c r="AP143" i="2"/>
  <c r="AO143" i="2"/>
  <c r="AQ143" i="2"/>
  <c r="U143" i="2"/>
  <c r="Y143" i="2"/>
  <c r="X143" i="2"/>
  <c r="W143" i="2"/>
  <c r="U144" i="2"/>
  <c r="Y144" i="2"/>
  <c r="X144" i="2"/>
  <c r="W144" i="2"/>
  <c r="K144" i="2"/>
  <c r="M144" i="2"/>
  <c r="L144" i="2"/>
  <c r="K143" i="2"/>
  <c r="L143" i="2"/>
  <c r="M143" i="2"/>
  <c r="AI143" i="2"/>
  <c r="AK143" i="2"/>
  <c r="W146" i="4"/>
  <c r="X146" i="4"/>
  <c r="Y146" i="4"/>
  <c r="K146" i="4"/>
  <c r="AI146" i="4"/>
  <c r="M146" i="4"/>
  <c r="AK146" i="4"/>
  <c r="AN146" i="4"/>
  <c r="W145" i="4"/>
  <c r="AI145" i="4"/>
  <c r="K145" i="4"/>
  <c r="L145" i="4"/>
  <c r="Y145" i="4"/>
  <c r="AK145" i="4"/>
  <c r="M145" i="4"/>
  <c r="T146" i="4"/>
  <c r="T145" i="4"/>
  <c r="Q146" i="4"/>
  <c r="Q145" i="4"/>
  <c r="N146" i="4"/>
  <c r="N145" i="4"/>
  <c r="Z145" i="4"/>
  <c r="AC145" i="4"/>
  <c r="AF145" i="4"/>
  <c r="AF146" i="4"/>
  <c r="AC146" i="4"/>
  <c r="Z146" i="4"/>
  <c r="AK144" i="2"/>
  <c r="AI144" i="2"/>
  <c r="AJ144" i="2"/>
  <c r="AA144" i="2"/>
  <c r="AA143" i="2"/>
  <c r="AD144" i="2"/>
  <c r="AD143" i="2"/>
  <c r="AG144" i="2"/>
  <c r="AG143" i="2"/>
  <c r="I144" i="2"/>
  <c r="I143" i="2"/>
  <c r="F144" i="2"/>
  <c r="F143" i="2"/>
  <c r="C144" i="2"/>
  <c r="C143" i="2"/>
  <c r="B146" i="4"/>
  <c r="B145" i="4"/>
  <c r="E146" i="4"/>
  <c r="E145" i="4"/>
  <c r="H145" i="4"/>
  <c r="I145" i="2"/>
  <c r="M145" i="2"/>
  <c r="K145" i="2"/>
  <c r="L145" i="2"/>
  <c r="AQ145" i="2"/>
  <c r="AP145" i="2"/>
  <c r="AT145" i="2"/>
  <c r="AN145" i="2"/>
  <c r="F145" i="2"/>
  <c r="AS145" i="2"/>
  <c r="AM145" i="2"/>
  <c r="C145" i="2"/>
  <c r="AR145" i="2"/>
  <c r="AL145" i="2"/>
  <c r="AI147" i="4"/>
  <c r="W147" i="4"/>
  <c r="X147" i="4"/>
  <c r="Y147" i="4"/>
  <c r="K147" i="4"/>
  <c r="M147" i="4"/>
  <c r="AK147" i="4"/>
  <c r="AJ147" i="4"/>
  <c r="H147" i="4"/>
  <c r="E147" i="4"/>
  <c r="B147" i="4"/>
  <c r="T147" i="4"/>
  <c r="Q147" i="4"/>
  <c r="N147" i="4"/>
  <c r="U145" i="2"/>
  <c r="Y145" i="2"/>
  <c r="W145" i="2"/>
  <c r="X145" i="2"/>
  <c r="AI177" i="2"/>
  <c r="AJ177" i="2"/>
  <c r="AK177" i="2"/>
  <c r="AI176" i="2"/>
  <c r="AK176" i="2"/>
  <c r="AI175" i="2"/>
  <c r="AK175" i="2"/>
  <c r="AJ175" i="2"/>
  <c r="AI174" i="2"/>
  <c r="AJ174" i="2"/>
  <c r="AK174" i="2"/>
  <c r="AI173" i="2"/>
  <c r="AK173" i="2"/>
  <c r="AJ173" i="2"/>
  <c r="AI172" i="2"/>
  <c r="AJ172" i="2"/>
  <c r="AK172" i="2"/>
  <c r="AI171" i="2"/>
  <c r="AJ171" i="2"/>
  <c r="AK171" i="2"/>
  <c r="AI170" i="2"/>
  <c r="AK170" i="2"/>
  <c r="AJ170" i="2"/>
  <c r="AI169" i="2"/>
  <c r="AK169" i="2"/>
  <c r="AJ169" i="2"/>
  <c r="AI168" i="2"/>
  <c r="AJ168" i="2"/>
  <c r="AK168" i="2"/>
  <c r="AI167" i="2"/>
  <c r="AK167" i="2"/>
  <c r="AJ167" i="2"/>
  <c r="AI166" i="2"/>
  <c r="AJ166" i="2"/>
  <c r="AK166" i="2"/>
  <c r="AI165" i="2"/>
  <c r="AJ165" i="2"/>
  <c r="AK165" i="2"/>
  <c r="AI164" i="2"/>
  <c r="AK164" i="2"/>
  <c r="AJ164" i="2"/>
  <c r="AI163" i="2"/>
  <c r="AJ163" i="2"/>
  <c r="AK163" i="2"/>
  <c r="AI162" i="2"/>
  <c r="AJ162" i="2"/>
  <c r="AK162" i="2"/>
  <c r="AI161" i="2"/>
  <c r="AK161" i="2"/>
  <c r="AJ161" i="2"/>
  <c r="AI160" i="2"/>
  <c r="AJ160" i="2"/>
  <c r="AK160" i="2"/>
  <c r="AI159" i="2"/>
  <c r="AJ159" i="2"/>
  <c r="AK159" i="2"/>
  <c r="AI158" i="2"/>
  <c r="AJ158" i="2"/>
  <c r="AK158" i="2"/>
  <c r="AI157" i="2"/>
  <c r="AJ157" i="2"/>
  <c r="AK157" i="2"/>
  <c r="AI156" i="2"/>
  <c r="AK156" i="2"/>
  <c r="AI155" i="2"/>
  <c r="AK155" i="2"/>
  <c r="AJ155" i="2"/>
  <c r="AI154" i="2"/>
  <c r="AJ154" i="2"/>
  <c r="AK154" i="2"/>
  <c r="AI153" i="2"/>
  <c r="AJ153" i="2"/>
  <c r="AK153" i="2"/>
  <c r="AI152" i="2"/>
  <c r="AJ152" i="2"/>
  <c r="AK152" i="2"/>
  <c r="AI151" i="2"/>
  <c r="AJ151" i="2"/>
  <c r="AK151" i="2"/>
  <c r="AI150" i="2"/>
  <c r="AK150" i="2"/>
  <c r="AJ150" i="2"/>
  <c r="AI149" i="2"/>
  <c r="AK149" i="2"/>
  <c r="AI148" i="2"/>
  <c r="AJ148" i="2"/>
  <c r="AK148" i="2"/>
  <c r="AI147" i="2"/>
  <c r="AK147" i="2"/>
  <c r="AI146" i="2"/>
  <c r="AJ146" i="2"/>
  <c r="AK146" i="2"/>
  <c r="AI145" i="2"/>
  <c r="AK145" i="2"/>
  <c r="AI178" i="2"/>
  <c r="AJ178" i="2"/>
  <c r="AK178" i="2"/>
  <c r="AG145" i="2"/>
  <c r="AD145" i="2"/>
  <c r="AA145" i="2"/>
  <c r="AF147" i="4"/>
  <c r="AC147" i="4"/>
  <c r="Z147" i="4"/>
  <c r="AR146" i="2"/>
  <c r="AL146" i="2"/>
  <c r="I146" i="2"/>
  <c r="M146" i="2"/>
  <c r="L146" i="2"/>
  <c r="K146" i="2"/>
  <c r="AQ146" i="2"/>
  <c r="AO146" i="2"/>
  <c r="AP146" i="2"/>
  <c r="AT146" i="2"/>
  <c r="AN146" i="2"/>
  <c r="F146" i="2"/>
  <c r="AS146" i="2"/>
  <c r="AM146" i="2"/>
  <c r="C146" i="2"/>
  <c r="AI148" i="4"/>
  <c r="AK148" i="4"/>
  <c r="AJ148" i="4"/>
  <c r="W148" i="4"/>
  <c r="AL148" i="4"/>
  <c r="K148" i="4"/>
  <c r="M148" i="4"/>
  <c r="Y148" i="4"/>
  <c r="B148" i="4"/>
  <c r="E148" i="4"/>
  <c r="H148" i="4"/>
  <c r="U146" i="2"/>
  <c r="Y146" i="2"/>
  <c r="X146" i="2"/>
  <c r="W146" i="2"/>
  <c r="N148" i="4"/>
  <c r="Q148" i="4"/>
  <c r="T148" i="4"/>
  <c r="AG146" i="2"/>
  <c r="AD146" i="2"/>
  <c r="AA146" i="2"/>
  <c r="AF148" i="4"/>
  <c r="AC148" i="4"/>
  <c r="Z148" i="4"/>
  <c r="AR147" i="2"/>
  <c r="AL147" i="2"/>
  <c r="I147" i="2"/>
  <c r="M147" i="2"/>
  <c r="K147" i="2"/>
  <c r="AQ147" i="2"/>
  <c r="AP147" i="2"/>
  <c r="AO147" i="2"/>
  <c r="AT147" i="2"/>
  <c r="AN147" i="2"/>
  <c r="F147" i="2"/>
  <c r="AS147" i="2"/>
  <c r="AM147" i="2"/>
  <c r="C147" i="2"/>
  <c r="U147" i="2"/>
  <c r="Y147" i="2"/>
  <c r="W147" i="2"/>
  <c r="X147" i="2"/>
  <c r="AI149" i="4"/>
  <c r="W149" i="4"/>
  <c r="X149" i="4"/>
  <c r="K149" i="4"/>
  <c r="AK149" i="4"/>
  <c r="Y149" i="4"/>
  <c r="M149" i="4"/>
  <c r="AN149" i="4"/>
  <c r="N149" i="4"/>
  <c r="Q149" i="4"/>
  <c r="T149" i="4"/>
  <c r="H149" i="4"/>
  <c r="E149" i="4"/>
  <c r="B149" i="4"/>
  <c r="AG147" i="2"/>
  <c r="AD147" i="2"/>
  <c r="AA147" i="2"/>
  <c r="AF149" i="4"/>
  <c r="AC149" i="4"/>
  <c r="Z149" i="4"/>
  <c r="AR148" i="2"/>
  <c r="AL148" i="2"/>
  <c r="AS148" i="2"/>
  <c r="AM148" i="2"/>
  <c r="AT148" i="2"/>
  <c r="AN148" i="2"/>
  <c r="AP148" i="2"/>
  <c r="AQ148" i="2"/>
  <c r="W148" i="2"/>
  <c r="Y148" i="2"/>
  <c r="X148" i="2"/>
  <c r="U148" i="2"/>
  <c r="W150" i="4"/>
  <c r="X150" i="4"/>
  <c r="Y150" i="4"/>
  <c r="T150" i="4"/>
  <c r="Q150" i="4"/>
  <c r="N150" i="4"/>
  <c r="AG177" i="2"/>
  <c r="AG176" i="2"/>
  <c r="AG175" i="2"/>
  <c r="AG174" i="2"/>
  <c r="AG173" i="2"/>
  <c r="AG172" i="2"/>
  <c r="AG171" i="2"/>
  <c r="AG170" i="2"/>
  <c r="AG169" i="2"/>
  <c r="AG168" i="2"/>
  <c r="AG167" i="2"/>
  <c r="AG178" i="2"/>
  <c r="AD177" i="2"/>
  <c r="AD176" i="2"/>
  <c r="AD175" i="2"/>
  <c r="AD174" i="2"/>
  <c r="AD173" i="2"/>
  <c r="AD172" i="2"/>
  <c r="AD171" i="2"/>
  <c r="AD170" i="2"/>
  <c r="AD169" i="2"/>
  <c r="AD168" i="2"/>
  <c r="AD167" i="2"/>
  <c r="AD178" i="2"/>
  <c r="AA177" i="2"/>
  <c r="AA176" i="2"/>
  <c r="AA175" i="2"/>
  <c r="AA174" i="2"/>
  <c r="AA173" i="2"/>
  <c r="AA172" i="2"/>
  <c r="AA171" i="2"/>
  <c r="AA170" i="2"/>
  <c r="AA169" i="2"/>
  <c r="AA168" i="2"/>
  <c r="AA167" i="2"/>
  <c r="AA178" i="2"/>
  <c r="AK179" i="4"/>
  <c r="AK178" i="4"/>
  <c r="AK177" i="4"/>
  <c r="AK176" i="4"/>
  <c r="AK175" i="4"/>
  <c r="AK174" i="4"/>
  <c r="AK173" i="4"/>
  <c r="AK172" i="4"/>
  <c r="AK171" i="4"/>
  <c r="AK170" i="4"/>
  <c r="AK169" i="4"/>
  <c r="AK180" i="4"/>
  <c r="AI179" i="4"/>
  <c r="AI178" i="4"/>
  <c r="AI177" i="4"/>
  <c r="AI176" i="4"/>
  <c r="AI175" i="4"/>
  <c r="AI174" i="4"/>
  <c r="AI173" i="4"/>
  <c r="AI172" i="4"/>
  <c r="AI171" i="4"/>
  <c r="AI170" i="4"/>
  <c r="AI169" i="4"/>
  <c r="AI180" i="4"/>
  <c r="AI150" i="4"/>
  <c r="AK150" i="4"/>
  <c r="K150" i="4"/>
  <c r="M150" i="4"/>
  <c r="AF150" i="4"/>
  <c r="AC150" i="4"/>
  <c r="Z150" i="4"/>
  <c r="AG148" i="2"/>
  <c r="AD148" i="2"/>
  <c r="AA148" i="2"/>
  <c r="H150" i="4"/>
  <c r="E150" i="4"/>
  <c r="B150" i="4"/>
  <c r="M148" i="2"/>
  <c r="K148" i="2"/>
  <c r="L148" i="2"/>
  <c r="I148" i="2"/>
  <c r="F148" i="2"/>
  <c r="C148" i="2"/>
  <c r="AR149" i="2"/>
  <c r="AL149" i="2"/>
  <c r="AS149" i="2"/>
  <c r="AM149" i="2"/>
  <c r="U149" i="2"/>
  <c r="Y149" i="2"/>
  <c r="W149" i="2"/>
  <c r="X149" i="2"/>
  <c r="AQ149" i="2"/>
  <c r="AP149" i="2"/>
  <c r="AO149" i="2"/>
  <c r="AT149" i="2"/>
  <c r="AN149" i="2"/>
  <c r="W151" i="4"/>
  <c r="X151" i="4"/>
  <c r="Y151" i="4"/>
  <c r="X154" i="4"/>
  <c r="X153" i="4"/>
  <c r="X152" i="4"/>
  <c r="T151" i="4"/>
  <c r="Q151" i="4"/>
  <c r="N151" i="4"/>
  <c r="K152" i="4"/>
  <c r="M152" i="4"/>
  <c r="L152" i="4"/>
  <c r="Z151" i="4"/>
  <c r="AG149" i="2"/>
  <c r="AD149" i="2"/>
  <c r="AA149" i="2"/>
  <c r="AR165" i="2"/>
  <c r="AL165" i="2"/>
  <c r="AS165" i="2"/>
  <c r="AM165" i="2"/>
  <c r="AT165" i="2"/>
  <c r="AN165" i="2"/>
  <c r="AR164" i="2"/>
  <c r="AL164" i="2"/>
  <c r="AS164" i="2"/>
  <c r="AM164" i="2"/>
  <c r="AT164" i="2"/>
  <c r="AN164" i="2"/>
  <c r="AR163" i="2"/>
  <c r="AL163" i="2"/>
  <c r="AS163" i="2"/>
  <c r="AM163" i="2"/>
  <c r="AT163" i="2"/>
  <c r="AN163" i="2"/>
  <c r="AR162" i="2"/>
  <c r="AL162" i="2"/>
  <c r="AS162" i="2"/>
  <c r="AM162" i="2"/>
  <c r="AT162" i="2"/>
  <c r="AN162" i="2"/>
  <c r="AR161" i="2"/>
  <c r="AL161" i="2"/>
  <c r="AS161" i="2"/>
  <c r="AM161" i="2"/>
  <c r="AT161" i="2"/>
  <c r="AN161" i="2"/>
  <c r="AR160" i="2"/>
  <c r="AL160" i="2"/>
  <c r="AS160" i="2"/>
  <c r="AM160" i="2"/>
  <c r="AT160" i="2"/>
  <c r="AN160" i="2"/>
  <c r="AR159" i="2"/>
  <c r="AL159" i="2"/>
  <c r="AS159" i="2"/>
  <c r="AM159" i="2"/>
  <c r="AT159" i="2"/>
  <c r="AN159" i="2"/>
  <c r="AR158" i="2"/>
  <c r="AL158" i="2"/>
  <c r="AS158" i="2"/>
  <c r="AM158" i="2"/>
  <c r="AT158" i="2"/>
  <c r="AN158" i="2"/>
  <c r="AR157" i="2"/>
  <c r="AL157" i="2"/>
  <c r="AS157" i="2"/>
  <c r="AM157" i="2"/>
  <c r="AT157" i="2"/>
  <c r="AN157" i="2"/>
  <c r="AR156" i="2"/>
  <c r="AL156" i="2"/>
  <c r="AS156" i="2"/>
  <c r="AM156" i="2"/>
  <c r="AT156" i="2"/>
  <c r="AN156" i="2"/>
  <c r="AR155" i="2"/>
  <c r="AL155" i="2"/>
  <c r="AS155" i="2"/>
  <c r="AM155" i="2"/>
  <c r="AT155" i="2"/>
  <c r="AN155" i="2"/>
  <c r="AR154" i="2"/>
  <c r="AL154" i="2"/>
  <c r="AS154" i="2"/>
  <c r="AM154" i="2"/>
  <c r="AT154" i="2"/>
  <c r="AN154" i="2"/>
  <c r="AR153" i="2"/>
  <c r="AL153" i="2"/>
  <c r="AS153" i="2"/>
  <c r="AM153" i="2"/>
  <c r="AT153" i="2"/>
  <c r="AN153" i="2"/>
  <c r="AR152" i="2"/>
  <c r="AL152" i="2"/>
  <c r="AS152" i="2"/>
  <c r="AM152" i="2"/>
  <c r="AT152" i="2"/>
  <c r="AN152" i="2"/>
  <c r="AR151" i="2"/>
  <c r="AL151" i="2"/>
  <c r="AS151" i="2"/>
  <c r="AM151" i="2"/>
  <c r="AT151" i="2"/>
  <c r="AN151" i="2"/>
  <c r="AR150" i="2"/>
  <c r="AL150" i="2"/>
  <c r="AS150" i="2"/>
  <c r="AM150" i="2"/>
  <c r="AT150" i="2"/>
  <c r="AN150" i="2"/>
  <c r="AR166" i="2"/>
  <c r="AL166" i="2"/>
  <c r="AT166" i="2"/>
  <c r="AN166" i="2"/>
  <c r="AS166" i="2"/>
  <c r="AM166" i="2"/>
  <c r="C150" i="2"/>
  <c r="F150" i="2"/>
  <c r="I150" i="2"/>
  <c r="M149" i="2"/>
  <c r="K149" i="2"/>
  <c r="L149" i="2"/>
  <c r="M150" i="2"/>
  <c r="K150" i="2"/>
  <c r="L150" i="2"/>
  <c r="B152" i="4"/>
  <c r="E152" i="4"/>
  <c r="H152" i="4"/>
  <c r="I149" i="2"/>
  <c r="F149" i="2"/>
  <c r="C149" i="2"/>
  <c r="AP165" i="2"/>
  <c r="AO165" i="2"/>
  <c r="AQ165" i="2"/>
  <c r="AP164" i="2"/>
  <c r="AO164" i="2"/>
  <c r="AQ164" i="2"/>
  <c r="AP163" i="2"/>
  <c r="AO163" i="2"/>
  <c r="AQ163" i="2"/>
  <c r="AP162" i="2"/>
  <c r="AO162" i="2"/>
  <c r="AQ162" i="2"/>
  <c r="AP161" i="2"/>
  <c r="AQ161" i="2"/>
  <c r="AO161" i="2"/>
  <c r="AP160" i="2"/>
  <c r="AO160" i="2"/>
  <c r="AQ160" i="2"/>
  <c r="AP159" i="2"/>
  <c r="AQ159" i="2"/>
  <c r="AP158" i="2"/>
  <c r="AO158" i="2"/>
  <c r="AQ158" i="2"/>
  <c r="AP157" i="2"/>
  <c r="AO157" i="2"/>
  <c r="AQ157" i="2"/>
  <c r="AP156" i="2"/>
  <c r="AO156" i="2"/>
  <c r="AQ156" i="2"/>
  <c r="AP155" i="2"/>
  <c r="AQ155" i="2"/>
  <c r="AO155" i="2"/>
  <c r="AP154" i="2"/>
  <c r="AO154" i="2"/>
  <c r="AQ154" i="2"/>
  <c r="AP153" i="2"/>
  <c r="AO153" i="2"/>
  <c r="AQ153" i="2"/>
  <c r="AP152" i="2"/>
  <c r="AO152" i="2"/>
  <c r="AQ152" i="2"/>
  <c r="AP151" i="2"/>
  <c r="AO151" i="2"/>
  <c r="AQ151" i="2"/>
  <c r="AP150" i="2"/>
  <c r="AQ150" i="2"/>
  <c r="AO150" i="2"/>
  <c r="AP166" i="2"/>
  <c r="AO166" i="2"/>
  <c r="AQ166" i="2"/>
  <c r="W232" i="2"/>
  <c r="W231" i="2"/>
  <c r="X231" i="2"/>
  <c r="Y231" i="2"/>
  <c r="W230" i="2"/>
  <c r="X230" i="2"/>
  <c r="Y230" i="2"/>
  <c r="W229" i="2"/>
  <c r="W228" i="2"/>
  <c r="Y228" i="2"/>
  <c r="X228" i="2"/>
  <c r="W227" i="2"/>
  <c r="X227" i="2"/>
  <c r="W226" i="2"/>
  <c r="W225" i="2"/>
  <c r="W224" i="2"/>
  <c r="Y224" i="2"/>
  <c r="X224" i="2"/>
  <c r="W223" i="2"/>
  <c r="X223" i="2"/>
  <c r="W222" i="2"/>
  <c r="W221" i="2"/>
  <c r="W220" i="2"/>
  <c r="Y220" i="2"/>
  <c r="W219" i="2"/>
  <c r="X219" i="2"/>
  <c r="W218" i="2"/>
  <c r="X218" i="2"/>
  <c r="W217" i="2"/>
  <c r="X217" i="2"/>
  <c r="Y217" i="2"/>
  <c r="W216" i="2"/>
  <c r="Y216" i="2"/>
  <c r="X216" i="2"/>
  <c r="W215" i="2"/>
  <c r="X215" i="2"/>
  <c r="W214" i="2"/>
  <c r="X214" i="2"/>
  <c r="Y214" i="2"/>
  <c r="W213" i="2"/>
  <c r="Y213" i="2"/>
  <c r="X213" i="2"/>
  <c r="W212" i="2"/>
  <c r="X212" i="2"/>
  <c r="W211" i="2"/>
  <c r="X211" i="2"/>
  <c r="W210" i="2"/>
  <c r="X210" i="2"/>
  <c r="Y210" i="2"/>
  <c r="W209" i="2"/>
  <c r="Y209" i="2"/>
  <c r="W208" i="2"/>
  <c r="X208" i="2"/>
  <c r="Y208" i="2"/>
  <c r="W206" i="2"/>
  <c r="Y206" i="2"/>
  <c r="W205" i="2"/>
  <c r="X205" i="2"/>
  <c r="Y205" i="2"/>
  <c r="W204" i="2"/>
  <c r="X204" i="2"/>
  <c r="W203" i="2"/>
  <c r="X203" i="2"/>
  <c r="W201" i="2"/>
  <c r="X201" i="2"/>
  <c r="Y201" i="2"/>
  <c r="W200" i="2"/>
  <c r="X200" i="2"/>
  <c r="W199" i="2"/>
  <c r="X199" i="2"/>
  <c r="W198" i="2"/>
  <c r="X198" i="2"/>
  <c r="Y198" i="2"/>
  <c r="W197" i="2"/>
  <c r="X197" i="2"/>
  <c r="Y197" i="2"/>
  <c r="W196" i="2"/>
  <c r="W195" i="2"/>
  <c r="X195" i="2"/>
  <c r="W194" i="2"/>
  <c r="W193" i="2"/>
  <c r="Y193" i="2"/>
  <c r="W192" i="2"/>
  <c r="Y192" i="2"/>
  <c r="X192" i="2"/>
  <c r="W191" i="2"/>
  <c r="X191" i="2"/>
  <c r="W189" i="2"/>
  <c r="X189" i="2"/>
  <c r="Y189" i="2"/>
  <c r="W188" i="2"/>
  <c r="X188" i="2"/>
  <c r="Y188" i="2"/>
  <c r="W187" i="2"/>
  <c r="W186" i="2"/>
  <c r="Y186" i="2"/>
  <c r="X186" i="2"/>
  <c r="W185" i="2"/>
  <c r="W184" i="2"/>
  <c r="Y184" i="2"/>
  <c r="W183" i="2"/>
  <c r="X183" i="2"/>
  <c r="W182" i="2"/>
  <c r="X182" i="2"/>
  <c r="Y182" i="2"/>
  <c r="W181" i="2"/>
  <c r="W180" i="2"/>
  <c r="X180" i="2"/>
  <c r="Y180" i="2"/>
  <c r="W179" i="2"/>
  <c r="W178" i="2"/>
  <c r="Y178" i="2"/>
  <c r="W177" i="2"/>
  <c r="X177" i="2"/>
  <c r="Y177" i="2"/>
  <c r="W176" i="2"/>
  <c r="Y176" i="2"/>
  <c r="X176" i="2"/>
  <c r="W175" i="2"/>
  <c r="W174" i="2"/>
  <c r="X174" i="2"/>
  <c r="W173" i="2"/>
  <c r="X173" i="2"/>
  <c r="Y173" i="2"/>
  <c r="W172" i="2"/>
  <c r="W171" i="2"/>
  <c r="X171" i="2"/>
  <c r="W170" i="2"/>
  <c r="W169" i="2"/>
  <c r="X169" i="2"/>
  <c r="Y169" i="2"/>
  <c r="W168" i="2"/>
  <c r="W167" i="2"/>
  <c r="W166" i="2"/>
  <c r="Y166" i="2"/>
  <c r="X166" i="2"/>
  <c r="W165" i="2"/>
  <c r="X165" i="2"/>
  <c r="Y165" i="2"/>
  <c r="W164" i="2"/>
  <c r="X164" i="2"/>
  <c r="Y164" i="2"/>
  <c r="W163" i="2"/>
  <c r="Y163" i="2"/>
  <c r="X163" i="2"/>
  <c r="W162" i="2"/>
  <c r="X162" i="2"/>
  <c r="Y162" i="2"/>
  <c r="W161" i="2"/>
  <c r="X161" i="2"/>
  <c r="Y161" i="2"/>
  <c r="W160" i="2"/>
  <c r="Y160" i="2"/>
  <c r="X160" i="2"/>
  <c r="W159" i="2"/>
  <c r="X159" i="2"/>
  <c r="Y159" i="2"/>
  <c r="W158" i="2"/>
  <c r="X158" i="2"/>
  <c r="Y158" i="2"/>
  <c r="W157" i="2"/>
  <c r="Y157" i="2"/>
  <c r="W156" i="2"/>
  <c r="X156" i="2"/>
  <c r="Y156" i="2"/>
  <c r="W155" i="2"/>
  <c r="Y155" i="2"/>
  <c r="X155" i="2"/>
  <c r="W154" i="2"/>
  <c r="X154" i="2"/>
  <c r="Y154" i="2"/>
  <c r="W153" i="2"/>
  <c r="X153" i="2"/>
  <c r="Y153" i="2"/>
  <c r="W152" i="2"/>
  <c r="X152" i="2"/>
  <c r="Y152" i="2"/>
  <c r="W151" i="2"/>
  <c r="X151" i="2"/>
  <c r="Y151" i="2"/>
  <c r="W150" i="2"/>
  <c r="X150" i="2"/>
  <c r="Y150" i="2"/>
  <c r="W233" i="2"/>
  <c r="X233" i="2"/>
  <c r="K165" i="2"/>
  <c r="L165" i="2"/>
  <c r="M165" i="2"/>
  <c r="K164" i="2"/>
  <c r="L164" i="2"/>
  <c r="M164" i="2"/>
  <c r="K163" i="2"/>
  <c r="M163" i="2"/>
  <c r="L163" i="2"/>
  <c r="K162" i="2"/>
  <c r="L162" i="2"/>
  <c r="M162" i="2"/>
  <c r="K161" i="2"/>
  <c r="L161" i="2"/>
  <c r="M161" i="2"/>
  <c r="K160" i="2"/>
  <c r="M160" i="2"/>
  <c r="L160" i="2"/>
  <c r="K159" i="2"/>
  <c r="L159" i="2"/>
  <c r="M159" i="2"/>
  <c r="K158" i="2"/>
  <c r="L158" i="2"/>
  <c r="M158" i="2"/>
  <c r="K157" i="2"/>
  <c r="M157" i="2"/>
  <c r="L157" i="2"/>
  <c r="K156" i="2"/>
  <c r="L156" i="2"/>
  <c r="M156" i="2"/>
  <c r="K155" i="2"/>
  <c r="L155" i="2"/>
  <c r="M155" i="2"/>
  <c r="K154" i="2"/>
  <c r="M154" i="2"/>
  <c r="L154" i="2"/>
  <c r="K153" i="2"/>
  <c r="L153" i="2"/>
  <c r="M153" i="2"/>
  <c r="K152" i="2"/>
  <c r="L152" i="2"/>
  <c r="M152" i="2"/>
  <c r="K151" i="2"/>
  <c r="L151" i="2"/>
  <c r="M151" i="2"/>
  <c r="K166" i="2"/>
  <c r="L166" i="2"/>
  <c r="M166" i="2"/>
  <c r="AK168" i="4"/>
  <c r="AI168" i="4"/>
  <c r="AJ168" i="4"/>
  <c r="AF168" i="4"/>
  <c r="AC168" i="4"/>
  <c r="Z168" i="4"/>
  <c r="W168" i="4"/>
  <c r="X168" i="4"/>
  <c r="Y168" i="4"/>
  <c r="U150" i="2"/>
  <c r="AA150" i="2"/>
  <c r="AD150" i="2"/>
  <c r="AG150" i="2"/>
  <c r="I153" i="2"/>
  <c r="F153" i="2"/>
  <c r="C153" i="2"/>
  <c r="I154" i="2"/>
  <c r="F154" i="2"/>
  <c r="C154" i="2"/>
  <c r="AG166" i="2"/>
  <c r="AD166" i="2"/>
  <c r="AA166" i="2"/>
  <c r="AG153" i="2"/>
  <c r="AD153" i="2"/>
  <c r="AA153" i="2"/>
  <c r="U151" i="2"/>
  <c r="U166" i="2"/>
  <c r="U165" i="2"/>
  <c r="U164" i="2"/>
  <c r="U163" i="2"/>
  <c r="U162" i="2"/>
  <c r="U161" i="2"/>
  <c r="U160" i="2"/>
  <c r="U159" i="2"/>
  <c r="U158" i="2"/>
  <c r="U157" i="2"/>
  <c r="U156" i="2"/>
  <c r="U155" i="2"/>
  <c r="U154" i="2"/>
  <c r="U232" i="2"/>
  <c r="U231" i="2"/>
  <c r="U230" i="2"/>
  <c r="U229" i="2"/>
  <c r="U228" i="2"/>
  <c r="U227" i="2"/>
  <c r="U226" i="2"/>
  <c r="U225" i="2"/>
  <c r="U224" i="2"/>
  <c r="U223" i="2"/>
  <c r="U222" i="2"/>
  <c r="U221" i="2"/>
  <c r="U220" i="2"/>
  <c r="U219" i="2"/>
  <c r="U218" i="2"/>
  <c r="U217" i="2"/>
  <c r="U216" i="2"/>
  <c r="U215" i="2"/>
  <c r="U214" i="2"/>
  <c r="U213" i="2"/>
  <c r="U212" i="2"/>
  <c r="U211" i="2"/>
  <c r="U210" i="2"/>
  <c r="U209" i="2"/>
  <c r="U208" i="2"/>
  <c r="U207" i="2"/>
  <c r="U206" i="2"/>
  <c r="U205" i="2"/>
  <c r="U204" i="2"/>
  <c r="U203" i="2"/>
  <c r="U202" i="2"/>
  <c r="U201" i="2"/>
  <c r="U200" i="2"/>
  <c r="U199" i="2"/>
  <c r="U198" i="2"/>
  <c r="U197" i="2"/>
  <c r="U196" i="2"/>
  <c r="U195" i="2"/>
  <c r="U194" i="2"/>
  <c r="U193" i="2"/>
  <c r="U192" i="2"/>
  <c r="U191" i="2"/>
  <c r="U190" i="2"/>
  <c r="U189" i="2"/>
  <c r="U188" i="2"/>
  <c r="U187" i="2"/>
  <c r="U186" i="2"/>
  <c r="U185" i="2"/>
  <c r="U184" i="2"/>
  <c r="U183" i="2"/>
  <c r="U182" i="2"/>
  <c r="U181" i="2"/>
  <c r="U180" i="2"/>
  <c r="U179" i="2"/>
  <c r="U178" i="2"/>
  <c r="U177" i="2"/>
  <c r="U176" i="2"/>
  <c r="U175" i="2"/>
  <c r="U174" i="2"/>
  <c r="U173" i="2"/>
  <c r="U172" i="2"/>
  <c r="U171" i="2"/>
  <c r="U170" i="2"/>
  <c r="U169" i="2"/>
  <c r="U168" i="2"/>
  <c r="U167" i="2"/>
  <c r="U233" i="2"/>
  <c r="AG151" i="2"/>
  <c r="AA151" i="2"/>
  <c r="AD151" i="2"/>
  <c r="U152" i="2"/>
  <c r="U153" i="2"/>
  <c r="I152" i="2"/>
  <c r="C152" i="2"/>
  <c r="AG152" i="2"/>
  <c r="AD152" i="2"/>
  <c r="AA152" i="2"/>
  <c r="F152" i="2"/>
  <c r="X99" i="4"/>
  <c r="AN98" i="4"/>
  <c r="AJ132" i="4"/>
  <c r="AJ131" i="4"/>
  <c r="AJ128" i="4"/>
  <c r="B124" i="4"/>
  <c r="AJ98" i="4"/>
  <c r="AN92" i="4"/>
  <c r="AN90" i="4"/>
  <c r="K111" i="4"/>
  <c r="AL111" i="4"/>
  <c r="M112" i="4"/>
  <c r="AL122" i="4"/>
  <c r="AO116" i="4"/>
  <c r="Z116" i="4"/>
  <c r="AK116" i="4"/>
  <c r="AN116" i="4"/>
  <c r="AL146" i="4"/>
  <c r="AJ86" i="4"/>
  <c r="AI111" i="4"/>
  <c r="AP134" i="4"/>
  <c r="AN91" i="4"/>
  <c r="AJ87" i="4"/>
  <c r="AL58" i="4"/>
  <c r="AJ58" i="4"/>
  <c r="AL100" i="4"/>
  <c r="AL127" i="4"/>
  <c r="K117" i="4"/>
  <c r="H114" i="4"/>
  <c r="AL107" i="4"/>
  <c r="AL55" i="4"/>
  <c r="AN104" i="4"/>
  <c r="L103" i="4"/>
  <c r="AJ99" i="4"/>
  <c r="AL89" i="4"/>
  <c r="AM89" i="4"/>
  <c r="X81" i="4"/>
  <c r="AL69" i="4"/>
  <c r="AM69" i="4"/>
  <c r="AN69" i="4"/>
  <c r="AJ62" i="4"/>
  <c r="AL62" i="4"/>
  <c r="X58" i="4"/>
  <c r="AN58" i="4"/>
  <c r="L105" i="4"/>
  <c r="L93" i="4"/>
  <c r="AJ70" i="4"/>
  <c r="X59" i="4"/>
  <c r="AJ53" i="4"/>
  <c r="AN66" i="4"/>
  <c r="AN103" i="4"/>
  <c r="AN125" i="4"/>
  <c r="AJ65" i="4"/>
  <c r="L96" i="4"/>
  <c r="AJ80" i="4"/>
  <c r="AL76" i="4"/>
  <c r="AN60" i="4"/>
  <c r="X56" i="4"/>
  <c r="L64" i="4"/>
  <c r="Z135" i="4"/>
  <c r="AO135" i="4"/>
  <c r="AL131" i="4"/>
  <c r="Z111" i="4"/>
  <c r="AQ111" i="4"/>
  <c r="AQ124" i="4"/>
  <c r="H124" i="4"/>
  <c r="AF151" i="4"/>
  <c r="X94" i="4"/>
  <c r="AL94" i="4"/>
  <c r="AL90" i="4"/>
  <c r="AM90" i="4"/>
  <c r="AJ67" i="4"/>
  <c r="X47" i="4"/>
  <c r="AJ113" i="4"/>
  <c r="AJ78" i="4"/>
  <c r="X138" i="4"/>
  <c r="AJ88" i="4"/>
  <c r="L110" i="4"/>
  <c r="AL53" i="4"/>
  <c r="B135" i="4"/>
  <c r="AJ93" i="4"/>
  <c r="AL93" i="4"/>
  <c r="L60" i="4"/>
  <c r="L54" i="4"/>
  <c r="L48" i="4"/>
  <c r="L46" i="4"/>
  <c r="AI114" i="4"/>
  <c r="AJ114" i="4"/>
  <c r="AN77" i="4"/>
  <c r="Y194" i="2"/>
  <c r="X194" i="2"/>
  <c r="X206" i="2"/>
  <c r="AO148" i="2"/>
  <c r="AJ139" i="2"/>
  <c r="X138" i="2"/>
  <c r="X132" i="2"/>
  <c r="L121" i="2"/>
  <c r="X87" i="2"/>
  <c r="X67" i="2"/>
  <c r="Y233" i="2"/>
  <c r="L147" i="2"/>
  <c r="AJ136" i="2"/>
  <c r="L132" i="2"/>
  <c r="O231" i="2"/>
  <c r="X109" i="2"/>
  <c r="AJ145" i="2"/>
  <c r="AJ147" i="2"/>
  <c r="AJ135" i="2"/>
  <c r="AO133" i="2"/>
  <c r="X187" i="2"/>
  <c r="AJ127" i="2"/>
  <c r="AJ112" i="2"/>
  <c r="X107" i="2"/>
  <c r="AO103" i="2"/>
  <c r="AJ94" i="2"/>
  <c r="AO83" i="2"/>
  <c r="X74" i="2"/>
  <c r="AO74" i="2"/>
  <c r="AJ72" i="2"/>
  <c r="AJ67" i="2"/>
  <c r="L66" i="2"/>
  <c r="X59" i="2"/>
  <c r="L53" i="2"/>
  <c r="L45" i="2"/>
  <c r="L44" i="2"/>
  <c r="X129" i="2"/>
  <c r="AJ126" i="2"/>
  <c r="AJ115" i="2"/>
  <c r="AJ95" i="2"/>
  <c r="L58" i="2"/>
  <c r="AO124" i="2"/>
  <c r="AO118" i="2"/>
  <c r="AJ116" i="2"/>
  <c r="AO116" i="2"/>
  <c r="L113" i="2"/>
  <c r="X112" i="2"/>
  <c r="AO111" i="2"/>
  <c r="L110" i="2"/>
  <c r="L107" i="2"/>
  <c r="AJ105" i="2"/>
  <c r="X101" i="2"/>
  <c r="L103" i="2"/>
  <c r="X78" i="2"/>
  <c r="AJ76" i="2"/>
  <c r="X75" i="2"/>
  <c r="AJ71" i="2"/>
  <c r="AJ65" i="2"/>
  <c r="L62" i="2"/>
  <c r="L60" i="2"/>
  <c r="AO59" i="2"/>
  <c r="L50" i="2"/>
  <c r="X123" i="2"/>
  <c r="X110" i="2"/>
  <c r="AO108" i="2"/>
  <c r="AJ106" i="2"/>
  <c r="AO100" i="2"/>
  <c r="L102" i="2"/>
  <c r="X94" i="2"/>
  <c r="X89" i="2"/>
  <c r="X85" i="2"/>
  <c r="AO85" i="2"/>
  <c r="L83" i="2"/>
  <c r="X83" i="2"/>
  <c r="X80" i="2"/>
  <c r="AJ64" i="2"/>
  <c r="AJ59" i="2"/>
  <c r="AJ52" i="2"/>
  <c r="AJ50" i="2"/>
  <c r="AJ49" i="2"/>
  <c r="X134" i="2"/>
  <c r="L100" i="2"/>
  <c r="L65" i="2"/>
  <c r="X45" i="2"/>
  <c r="AJ129" i="2"/>
  <c r="X120" i="2"/>
  <c r="X105" i="2"/>
  <c r="X97" i="2"/>
  <c r="X91" i="2"/>
  <c r="AJ69" i="2"/>
  <c r="X65" i="2"/>
  <c r="AJ53" i="2"/>
  <c r="AJ96" i="2"/>
  <c r="X64" i="2"/>
  <c r="AJ61" i="2"/>
  <c r="AO50" i="2"/>
  <c r="AO139" i="2"/>
  <c r="X126" i="2"/>
  <c r="L122" i="2"/>
  <c r="X115" i="2"/>
  <c r="AJ107" i="2"/>
  <c r="X95" i="2"/>
  <c r="AJ93" i="2"/>
  <c r="X90" i="2"/>
  <c r="AJ82" i="2"/>
  <c r="AO72" i="2"/>
  <c r="X57" i="2"/>
  <c r="AJ55" i="2"/>
  <c r="X53" i="2"/>
  <c r="L48" i="2"/>
  <c r="AO47" i="2"/>
  <c r="AJ45" i="2"/>
  <c r="AO81" i="2"/>
  <c r="AJ78" i="2"/>
  <c r="AJ73" i="2"/>
  <c r="L69" i="2"/>
  <c r="AJ66" i="2"/>
  <c r="AJ60" i="2"/>
  <c r="AJ58" i="2"/>
  <c r="X55" i="2"/>
  <c r="AJ51" i="2"/>
  <c r="X46" i="2"/>
  <c r="AC40" i="4"/>
  <c r="L42" i="4"/>
  <c r="AJ49" i="4"/>
  <c r="AN47" i="4"/>
  <c r="AJ35" i="2"/>
  <c r="Y181" i="2"/>
  <c r="X181" i="2"/>
  <c r="Y172" i="2"/>
  <c r="X172" i="2"/>
  <c r="Y204" i="2"/>
  <c r="Y174" i="2"/>
  <c r="Y225" i="2"/>
  <c r="X225" i="2"/>
  <c r="Y229" i="2"/>
  <c r="X229" i="2"/>
  <c r="Y179" i="2"/>
  <c r="X179" i="2"/>
  <c r="O190" i="2"/>
  <c r="O202" i="2"/>
  <c r="Y223" i="2"/>
  <c r="O41" i="2"/>
  <c r="AP41" i="2"/>
  <c r="AO41" i="2"/>
  <c r="W41" i="2"/>
  <c r="X41" i="2"/>
  <c r="X93" i="2"/>
  <c r="L92" i="2"/>
  <c r="AP36" i="2"/>
  <c r="AO36" i="2"/>
  <c r="W36" i="2"/>
  <c r="X36" i="2"/>
  <c r="Y36" i="2"/>
  <c r="O36" i="2"/>
  <c r="Y221" i="2"/>
  <c r="X221" i="2"/>
  <c r="L85" i="2"/>
  <c r="L78" i="2"/>
  <c r="X72" i="2"/>
  <c r="AJ56" i="2"/>
  <c r="AO55" i="2"/>
  <c r="AO54" i="2"/>
  <c r="AO80" i="2"/>
  <c r="X71" i="2"/>
  <c r="X70" i="2"/>
  <c r="AO65" i="2"/>
  <c r="AJ62" i="2"/>
  <c r="L56" i="2"/>
  <c r="X54" i="2"/>
  <c r="L47" i="2"/>
  <c r="Y38" i="2"/>
  <c r="X84" i="2"/>
  <c r="X76" i="2"/>
  <c r="AJ74" i="2"/>
  <c r="L72" i="2"/>
  <c r="AO45" i="2"/>
  <c r="O39" i="2"/>
  <c r="W39" i="2"/>
  <c r="AP39" i="2"/>
  <c r="AQ36" i="2"/>
  <c r="W38" i="2"/>
  <c r="X38" i="2"/>
  <c r="Y40" i="2"/>
  <c r="X40" i="2"/>
  <c r="X184" i="2"/>
  <c r="X209" i="2"/>
  <c r="Y218" i="2"/>
  <c r="X220" i="2"/>
  <c r="AO159" i="2"/>
  <c r="AJ149" i="2"/>
  <c r="L140" i="2"/>
  <c r="AO138" i="2"/>
  <c r="X136" i="2"/>
  <c r="X133" i="2"/>
  <c r="O168" i="2"/>
  <c r="Y168" i="2"/>
  <c r="X168" i="2"/>
  <c r="O200" i="2"/>
  <c r="L118" i="2"/>
  <c r="AO96" i="2"/>
  <c r="X157" i="2"/>
  <c r="X178" i="2"/>
  <c r="X193" i="2"/>
  <c r="AJ156" i="2"/>
  <c r="AO141" i="2"/>
  <c r="AO135" i="2"/>
  <c r="X130" i="2"/>
  <c r="O191" i="2"/>
  <c r="O219" i="2"/>
  <c r="Y219" i="2"/>
  <c r="O227" i="2"/>
  <c r="AO105" i="2"/>
  <c r="AJ101" i="2"/>
  <c r="AJ97" i="2"/>
  <c r="AO93" i="2"/>
  <c r="AR38" i="2"/>
  <c r="AL38" i="2"/>
  <c r="AQ38" i="2"/>
  <c r="Y196" i="2"/>
  <c r="X196" i="2"/>
  <c r="O212" i="2"/>
  <c r="Y212" i="2"/>
  <c r="X100" i="2"/>
  <c r="L96" i="2"/>
  <c r="AJ91" i="2"/>
  <c r="AO87" i="2"/>
  <c r="X79" i="2"/>
  <c r="AJ77" i="2"/>
  <c r="X69" i="2"/>
  <c r="X86" i="2"/>
  <c r="AO71" i="2"/>
  <c r="X66" i="2"/>
  <c r="L63" i="2"/>
  <c r="AO53" i="2"/>
  <c r="AO51" i="2"/>
  <c r="O38" i="2"/>
  <c r="AO68" i="2"/>
  <c r="AO56" i="2"/>
  <c r="X52" i="2"/>
  <c r="AO52" i="2"/>
  <c r="AO46" i="2"/>
  <c r="L77" i="2"/>
  <c r="AJ63" i="2"/>
  <c r="X47" i="2"/>
  <c r="X44" i="2"/>
  <c r="AQ39" i="2"/>
  <c r="AO39" i="2"/>
  <c r="Y39" i="2"/>
  <c r="X39" i="2"/>
  <c r="AR39" i="2"/>
  <c r="AL39" i="2"/>
  <c r="AP38" i="2"/>
  <c r="AO38" i="2"/>
  <c r="AM25" i="4"/>
  <c r="AO24" i="2"/>
  <c r="X145" i="4"/>
  <c r="Z124" i="4"/>
  <c r="AK124" i="4"/>
  <c r="AJ124" i="4"/>
  <c r="AO124" i="4"/>
  <c r="AQ134" i="4"/>
  <c r="AK134" i="4"/>
  <c r="AF134" i="4"/>
  <c r="L101" i="4"/>
  <c r="AJ104" i="4"/>
  <c r="AL104" i="4"/>
  <c r="AM104" i="4"/>
  <c r="AJ75" i="4"/>
  <c r="L61" i="4"/>
  <c r="AL61" i="4"/>
  <c r="AL56" i="4"/>
  <c r="L56" i="4"/>
  <c r="L125" i="4"/>
  <c r="T112" i="4"/>
  <c r="H117" i="4"/>
  <c r="AQ117" i="4"/>
  <c r="M124" i="4"/>
  <c r="L124" i="4"/>
  <c r="E124" i="4"/>
  <c r="AP124" i="4"/>
  <c r="AF129" i="4"/>
  <c r="AQ129" i="4"/>
  <c r="AI129" i="4"/>
  <c r="AL129" i="4"/>
  <c r="L102" i="4"/>
  <c r="AJ97" i="4"/>
  <c r="AJ96" i="4"/>
  <c r="AN126" i="4"/>
  <c r="AI135" i="4"/>
  <c r="AL135" i="4"/>
  <c r="AC135" i="4"/>
  <c r="AP135" i="4"/>
  <c r="X91" i="4"/>
  <c r="AL87" i="4"/>
  <c r="AL82" i="4"/>
  <c r="AL71" i="4"/>
  <c r="AM71" i="4"/>
  <c r="AJ71" i="4"/>
  <c r="AN71" i="4"/>
  <c r="AN63" i="4"/>
  <c r="AJ63" i="4"/>
  <c r="AN139" i="4"/>
  <c r="AN130" i="4"/>
  <c r="AN105" i="4"/>
  <c r="AJ105" i="4"/>
  <c r="X92" i="4"/>
  <c r="AL92" i="4"/>
  <c r="AL73" i="4"/>
  <c r="AM73" i="4"/>
  <c r="X73" i="4"/>
  <c r="AN73" i="4"/>
  <c r="AJ73" i="4"/>
  <c r="AL67" i="4"/>
  <c r="AJ54" i="4"/>
  <c r="AJ118" i="4"/>
  <c r="B114" i="4"/>
  <c r="K114" i="4"/>
  <c r="AK114" i="4"/>
  <c r="L85" i="4"/>
  <c r="AL84" i="4"/>
  <c r="AN76" i="4"/>
  <c r="AJ76" i="4"/>
  <c r="L68" i="4"/>
  <c r="AN64" i="4"/>
  <c r="AI43" i="4"/>
  <c r="AJ43" i="4"/>
  <c r="AI41" i="4"/>
  <c r="AF41" i="4"/>
  <c r="Z38" i="4"/>
  <c r="AJ50" i="4"/>
  <c r="AN80" i="4"/>
  <c r="X105" i="4"/>
  <c r="AJ77" i="4"/>
  <c r="AQ114" i="4"/>
  <c r="AL68" i="4"/>
  <c r="AM68" i="4"/>
  <c r="AL81" i="4"/>
  <c r="AM81" i="4"/>
  <c r="AL140" i="4"/>
  <c r="AO151" i="4"/>
  <c r="X121" i="4"/>
  <c r="AN101" i="4"/>
  <c r="AL99" i="4"/>
  <c r="AM99" i="4"/>
  <c r="X70" i="4"/>
  <c r="X69" i="4"/>
  <c r="AL60" i="4"/>
  <c r="AM60" i="4"/>
  <c r="AN51" i="4"/>
  <c r="AF39" i="4"/>
  <c r="AK41" i="4"/>
  <c r="AI38" i="4"/>
  <c r="X66" i="4"/>
  <c r="AO114" i="4"/>
  <c r="X57" i="4"/>
  <c r="AO111" i="4"/>
  <c r="AN86" i="4"/>
  <c r="AJ145" i="4"/>
  <c r="AN142" i="4"/>
  <c r="L130" i="4"/>
  <c r="X127" i="4"/>
  <c r="AI126" i="4"/>
  <c r="AL126" i="4"/>
  <c r="AM126" i="4"/>
  <c r="E112" i="4"/>
  <c r="AI117" i="4"/>
  <c r="AF117" i="4"/>
  <c r="AK135" i="4"/>
  <c r="AQ151" i="4"/>
  <c r="AL95" i="4"/>
  <c r="X80" i="4"/>
  <c r="X65" i="4"/>
  <c r="AJ61" i="4"/>
  <c r="X60" i="4"/>
  <c r="AN53" i="4"/>
  <c r="AM53" i="4"/>
  <c r="Z39" i="4"/>
  <c r="AO44" i="4"/>
  <c r="Z44" i="4"/>
  <c r="AL115" i="4"/>
  <c r="AK111" i="4"/>
  <c r="AJ111" i="4"/>
  <c r="E114" i="4"/>
  <c r="L94" i="4"/>
  <c r="AN49" i="4"/>
  <c r="AJ41" i="4"/>
  <c r="AN114" i="4"/>
  <c r="AJ129" i="4"/>
  <c r="AM20" i="4"/>
  <c r="AM21" i="4"/>
  <c r="AL147" i="4"/>
  <c r="AK117" i="4"/>
  <c r="AC117" i="4"/>
  <c r="AL109" i="4"/>
  <c r="L133" i="4"/>
  <c r="AL133" i="4"/>
  <c r="AM133" i="4"/>
  <c r="AJ74" i="4"/>
  <c r="X72" i="4"/>
  <c r="AM29" i="4"/>
  <c r="AN113" i="4"/>
  <c r="AP117" i="4"/>
  <c r="AN134" i="4"/>
  <c r="AN72" i="4"/>
  <c r="AM72" i="4"/>
  <c r="AN145" i="4"/>
  <c r="AL143" i="4"/>
  <c r="AN132" i="4"/>
  <c r="Z125" i="4"/>
  <c r="AI125" i="4"/>
  <c r="AJ125" i="4"/>
  <c r="AO125" i="4"/>
  <c r="AN119" i="4"/>
  <c r="X140" i="4"/>
  <c r="AJ48" i="4"/>
  <c r="AL46" i="4"/>
  <c r="AM46" i="4"/>
  <c r="AI151" i="4"/>
  <c r="AL151" i="4"/>
  <c r="AL117" i="4"/>
  <c r="AQ116" i="4"/>
  <c r="AJ144" i="4"/>
  <c r="L63" i="4"/>
  <c r="AL101" i="4"/>
  <c r="AM101" i="4"/>
  <c r="AC151" i="4"/>
  <c r="AN108" i="4"/>
  <c r="AJ57" i="4"/>
  <c r="AL57" i="4"/>
  <c r="B43" i="4"/>
  <c r="K43" i="4"/>
  <c r="L43" i="4"/>
  <c r="X130" i="4"/>
  <c r="AL130" i="4"/>
  <c r="AM130" i="4"/>
  <c r="L128" i="4"/>
  <c r="AL128" i="4"/>
  <c r="X123" i="4"/>
  <c r="AL120" i="4"/>
  <c r="X104" i="4"/>
  <c r="AJ90" i="4"/>
  <c r="AN84" i="4"/>
  <c r="X67" i="4"/>
  <c r="X63" i="4"/>
  <c r="AN45" i="4"/>
  <c r="L45" i="4"/>
  <c r="X122" i="4"/>
  <c r="L78" i="4"/>
  <c r="AC39" i="4"/>
  <c r="AI39" i="4"/>
  <c r="AJ89" i="4"/>
  <c r="AJ83" i="4"/>
  <c r="AF35" i="4"/>
  <c r="E36" i="4"/>
  <c r="I32" i="2"/>
  <c r="R34" i="2"/>
  <c r="AN31" i="2"/>
  <c r="U32" i="2"/>
  <c r="AI32" i="2"/>
  <c r="AS34" i="2"/>
  <c r="AM34" i="2"/>
  <c r="AM17" i="4"/>
  <c r="AD34" i="2"/>
  <c r="K34" i="4"/>
  <c r="AO39" i="4"/>
  <c r="AG33" i="2"/>
  <c r="Y44" i="4"/>
  <c r="AP44" i="4"/>
  <c r="Q43" i="4"/>
  <c r="AO41" i="4"/>
  <c r="AQ40" i="4"/>
  <c r="W42" i="4"/>
  <c r="Y42" i="4"/>
  <c r="T40" i="4"/>
  <c r="Y38" i="4"/>
  <c r="Z36" i="4"/>
  <c r="AP42" i="4"/>
  <c r="T38" i="4"/>
  <c r="AP39" i="4"/>
  <c r="W44" i="4"/>
  <c r="X44" i="4"/>
  <c r="W36" i="4"/>
  <c r="T36" i="4"/>
  <c r="AD32" i="2"/>
  <c r="C33" i="2"/>
  <c r="K35" i="4"/>
  <c r="Y32" i="2"/>
  <c r="AI36" i="4"/>
  <c r="AD33" i="2"/>
  <c r="R31" i="2"/>
  <c r="O32" i="2"/>
  <c r="AT32" i="2"/>
  <c r="AN32" i="2"/>
  <c r="P33" i="2"/>
  <c r="O33" i="2"/>
  <c r="O35" i="2"/>
  <c r="M32" i="2"/>
  <c r="AI33" i="2"/>
  <c r="AQ35" i="2"/>
  <c r="W35" i="2"/>
  <c r="X35" i="2"/>
  <c r="O34" i="2"/>
  <c r="R33" i="2"/>
  <c r="Y35" i="2"/>
  <c r="AP35" i="2"/>
  <c r="R32" i="2"/>
  <c r="C32" i="2"/>
  <c r="AM31" i="2"/>
  <c r="Q33" i="4"/>
  <c r="W38" i="4"/>
  <c r="AL38" i="4"/>
  <c r="AQ37" i="4"/>
  <c r="AC34" i="4"/>
  <c r="Q42" i="4"/>
  <c r="N40" i="4"/>
  <c r="Y35" i="4"/>
  <c r="X35" i="4"/>
  <c r="N35" i="4"/>
  <c r="AQ33" i="4"/>
  <c r="AJ34" i="2"/>
  <c r="AO35" i="2"/>
  <c r="AP33" i="2"/>
  <c r="AT34" i="2"/>
  <c r="AN34" i="2"/>
  <c r="AK34" i="2"/>
  <c r="F33" i="2"/>
  <c r="AP34" i="2"/>
  <c r="AK32" i="2"/>
  <c r="AJ32" i="2"/>
  <c r="AG34" i="2"/>
  <c r="W33" i="2"/>
  <c r="F32" i="2"/>
  <c r="AR32" i="2"/>
  <c r="AL32" i="2"/>
  <c r="X42" i="4"/>
  <c r="T42" i="4"/>
  <c r="T39" i="4"/>
  <c r="K37" i="4"/>
  <c r="L37" i="4"/>
  <c r="T37" i="4"/>
  <c r="N39" i="4"/>
  <c r="W34" i="4"/>
  <c r="Q40" i="4"/>
  <c r="W37" i="4"/>
  <c r="AP35" i="4"/>
  <c r="Y33" i="4"/>
  <c r="AN33" i="4"/>
  <c r="N41" i="4"/>
  <c r="N42" i="4"/>
  <c r="AQ41" i="4"/>
  <c r="Q38" i="4"/>
  <c r="H35" i="4"/>
  <c r="M34" i="4"/>
  <c r="L34" i="4"/>
  <c r="X38" i="4"/>
  <c r="T43" i="4"/>
  <c r="AM131" i="4"/>
  <c r="AM128" i="4"/>
  <c r="AM88" i="4"/>
  <c r="AM48" i="4"/>
  <c r="L135" i="4"/>
  <c r="AN135" i="4"/>
  <c r="AM97" i="4"/>
  <c r="AM75" i="4"/>
  <c r="AN122" i="4"/>
  <c r="AN85" i="4"/>
  <c r="AM85" i="4"/>
  <c r="AL74" i="4"/>
  <c r="AM74" i="4"/>
  <c r="AP112" i="4"/>
  <c r="X45" i="4"/>
  <c r="AQ135" i="4"/>
  <c r="AI44" i="4"/>
  <c r="AJ44" i="4"/>
  <c r="AL51" i="4"/>
  <c r="AM51" i="4"/>
  <c r="AL118" i="4"/>
  <c r="AM118" i="4"/>
  <c r="N112" i="4"/>
  <c r="AM103" i="4"/>
  <c r="AJ150" i="4"/>
  <c r="AN147" i="4"/>
  <c r="AM147" i="4"/>
  <c r="AJ146" i="4"/>
  <c r="L143" i="4"/>
  <c r="X142" i="4"/>
  <c r="AN141" i="4"/>
  <c r="X132" i="4"/>
  <c r="X125" i="4"/>
  <c r="L123" i="4"/>
  <c r="X118" i="4"/>
  <c r="AO117" i="4"/>
  <c r="Q112" i="4"/>
  <c r="AP116" i="4"/>
  <c r="AL102" i="4"/>
  <c r="X93" i="4"/>
  <c r="AL79" i="4"/>
  <c r="AM79" i="4"/>
  <c r="X50" i="4"/>
  <c r="X49" i="4"/>
  <c r="N43" i="4"/>
  <c r="Q41" i="4"/>
  <c r="W40" i="4"/>
  <c r="AL40" i="4"/>
  <c r="AM40" i="4"/>
  <c r="AF38" i="4"/>
  <c r="AM135" i="4"/>
  <c r="AN129" i="4"/>
  <c r="AM57" i="4"/>
  <c r="L50" i="4"/>
  <c r="AF42" i="4"/>
  <c r="AI42" i="4"/>
  <c r="AJ42" i="4"/>
  <c r="AM115" i="4"/>
  <c r="AJ64" i="4"/>
  <c r="AL119" i="4"/>
  <c r="AM84" i="4"/>
  <c r="X87" i="4"/>
  <c r="AL59" i="4"/>
  <c r="AN107" i="4"/>
  <c r="AM107" i="4"/>
  <c r="AM127" i="4"/>
  <c r="AJ109" i="4"/>
  <c r="L146" i="4"/>
  <c r="AJ143" i="4"/>
  <c r="AJ136" i="4"/>
  <c r="L116" i="4"/>
  <c r="AF116" i="4"/>
  <c r="AJ94" i="4"/>
  <c r="L84" i="4"/>
  <c r="AJ72" i="4"/>
  <c r="AL70" i="4"/>
  <c r="L49" i="4"/>
  <c r="Z42" i="4"/>
  <c r="AK42" i="4"/>
  <c r="AN42" i="4"/>
  <c r="L40" i="4"/>
  <c r="AM146" i="4"/>
  <c r="AM83" i="4"/>
  <c r="AQ38" i="4"/>
  <c r="T41" i="4"/>
  <c r="X124" i="4"/>
  <c r="AJ82" i="4"/>
  <c r="AK112" i="4"/>
  <c r="AJ126" i="4"/>
  <c r="AL52" i="4"/>
  <c r="AM52" i="4"/>
  <c r="AO134" i="4"/>
  <c r="AM87" i="4"/>
  <c r="AN100" i="4"/>
  <c r="AM100" i="4"/>
  <c r="AJ56" i="4"/>
  <c r="AM92" i="4"/>
  <c r="AN127" i="4"/>
  <c r="L126" i="4"/>
  <c r="AL121" i="4"/>
  <c r="X116" i="4"/>
  <c r="X114" i="4"/>
  <c r="AJ108" i="4"/>
  <c r="X84" i="4"/>
  <c r="AN65" i="4"/>
  <c r="AM65" i="4"/>
  <c r="X61" i="4"/>
  <c r="AL139" i="4"/>
  <c r="AM139" i="4"/>
  <c r="AL106" i="4"/>
  <c r="AM106" i="4"/>
  <c r="Z37" i="4"/>
  <c r="AM56" i="4"/>
  <c r="AI134" i="4"/>
  <c r="AN148" i="4"/>
  <c r="AM148" i="4"/>
  <c r="AC114" i="4"/>
  <c r="AN97" i="4"/>
  <c r="L44" i="4"/>
  <c r="AC43" i="4"/>
  <c r="L38" i="4"/>
  <c r="N36" i="4"/>
  <c r="AM30" i="4"/>
  <c r="AM28" i="4"/>
  <c r="AM23" i="4"/>
  <c r="AL125" i="4"/>
  <c r="AM125" i="4"/>
  <c r="AC36" i="4"/>
  <c r="AM45" i="4"/>
  <c r="AM119" i="4"/>
  <c r="AJ135" i="4"/>
  <c r="L52" i="4"/>
  <c r="AM142" i="4"/>
  <c r="AL47" i="4"/>
  <c r="AM47" i="4"/>
  <c r="AI40" i="4"/>
  <c r="AJ40" i="4"/>
  <c r="AL66" i="4"/>
  <c r="AM66" i="4"/>
  <c r="AJ106" i="4"/>
  <c r="AM67" i="4"/>
  <c r="AL91" i="4"/>
  <c r="AM91" i="4"/>
  <c r="AM129" i="4"/>
  <c r="M117" i="4"/>
  <c r="AN117" i="4"/>
  <c r="AM117" i="4"/>
  <c r="AM61" i="4"/>
  <c r="AL110" i="4"/>
  <c r="AM110" i="4"/>
  <c r="L55" i="4"/>
  <c r="AM62" i="4"/>
  <c r="AM122" i="4"/>
  <c r="AL145" i="4"/>
  <c r="AM145" i="4"/>
  <c r="L142" i="4"/>
  <c r="AN118" i="4"/>
  <c r="AL105" i="4"/>
  <c r="AM105" i="4"/>
  <c r="L109" i="4"/>
  <c r="X97" i="4"/>
  <c r="L90" i="4"/>
  <c r="L62" i="4"/>
  <c r="AN44" i="4"/>
  <c r="AJ151" i="4"/>
  <c r="AP111" i="4"/>
  <c r="AI37" i="4"/>
  <c r="AJ37" i="4"/>
  <c r="AN150" i="4"/>
  <c r="AL149" i="4"/>
  <c r="AM149" i="4"/>
  <c r="L148" i="4"/>
  <c r="AN144" i="4"/>
  <c r="AJ140" i="4"/>
  <c r="X128" i="4"/>
  <c r="H111" i="4"/>
  <c r="Y112" i="4"/>
  <c r="X112" i="4"/>
  <c r="Z117" i="4"/>
  <c r="X109" i="4"/>
  <c r="L92" i="4"/>
  <c r="AJ92" i="4"/>
  <c r="AN88" i="4"/>
  <c r="L80" i="4"/>
  <c r="AN78" i="4"/>
  <c r="AN75" i="4"/>
  <c r="AL98" i="4"/>
  <c r="AM98" i="4"/>
  <c r="AJ117" i="4"/>
  <c r="AJ79" i="4"/>
  <c r="AF43" i="4"/>
  <c r="AL114" i="4"/>
  <c r="AM114" i="4"/>
  <c r="X83" i="4"/>
  <c r="AM76" i="4"/>
  <c r="AL86" i="4"/>
  <c r="AM86" i="4"/>
  <c r="AM58" i="4"/>
  <c r="L150" i="4"/>
  <c r="L140" i="4"/>
  <c r="X139" i="4"/>
  <c r="L137" i="4"/>
  <c r="X119" i="4"/>
  <c r="L115" i="4"/>
  <c r="AF111" i="4"/>
  <c r="K112" i="4"/>
  <c r="L112" i="4"/>
  <c r="L108" i="4"/>
  <c r="AJ102" i="4"/>
  <c r="L97" i="4"/>
  <c r="L75" i="4"/>
  <c r="AN70" i="4"/>
  <c r="AN59" i="4"/>
  <c r="AJ46" i="4"/>
  <c r="AP34" i="4"/>
  <c r="Y41" i="4"/>
  <c r="AN41" i="4"/>
  <c r="AO43" i="4"/>
  <c r="Q44" i="4"/>
  <c r="N38" i="4"/>
  <c r="AI34" i="4"/>
  <c r="AJ34" i="4"/>
  <c r="Q34" i="4"/>
  <c r="AK35" i="4"/>
  <c r="AP38" i="4"/>
  <c r="Y37" i="4"/>
  <c r="AN37" i="4"/>
  <c r="W43" i="4"/>
  <c r="Y43" i="4"/>
  <c r="AN43" i="4"/>
  <c r="AQ44" i="4"/>
  <c r="AO35" i="4"/>
  <c r="B34" i="4"/>
  <c r="T35" i="4"/>
  <c r="AP40" i="4"/>
  <c r="Y40" i="4"/>
  <c r="AN40" i="4"/>
  <c r="B36" i="4"/>
  <c r="E37" i="4"/>
  <c r="H36" i="4"/>
  <c r="B35" i="4"/>
  <c r="AQ35" i="4"/>
  <c r="AQ43" i="4"/>
  <c r="W39" i="4"/>
  <c r="AL39" i="4"/>
  <c r="AQ34" i="4"/>
  <c r="AP41" i="4"/>
  <c r="AO40" i="4"/>
  <c r="W41" i="4"/>
  <c r="B37" i="4"/>
  <c r="H34" i="4"/>
  <c r="O31" i="2"/>
  <c r="AR31" i="2"/>
  <c r="AQ31" i="2"/>
  <c r="Y31" i="2"/>
  <c r="M33" i="2"/>
  <c r="L33" i="2"/>
  <c r="Y36" i="4"/>
  <c r="X36" i="4"/>
  <c r="AP36" i="4"/>
  <c r="Z35" i="4"/>
  <c r="Y34" i="4"/>
  <c r="N34" i="4"/>
  <c r="AQ34" i="2"/>
  <c r="AO34" i="2"/>
  <c r="AO34" i="4"/>
  <c r="AQ36" i="4"/>
  <c r="AJ33" i="2"/>
  <c r="T34" i="4"/>
  <c r="U33" i="2"/>
  <c r="AT33" i="2"/>
  <c r="AS32" i="2"/>
  <c r="AM32" i="2"/>
  <c r="AN33" i="2"/>
  <c r="AR34" i="2"/>
  <c r="AL34" i="2"/>
  <c r="M35" i="4"/>
  <c r="Z34" i="4"/>
  <c r="AP31" i="2"/>
  <c r="AO31" i="2"/>
  <c r="AL36" i="2"/>
  <c r="N37" i="4"/>
  <c r="AP37" i="4"/>
  <c r="AF36" i="4"/>
  <c r="AA33" i="2"/>
  <c r="E35" i="4"/>
  <c r="AQ32" i="2"/>
  <c r="W31" i="2"/>
  <c r="Y34" i="2"/>
  <c r="X34" i="2"/>
  <c r="W33" i="4"/>
  <c r="AL33" i="4"/>
  <c r="AJ36" i="4"/>
  <c r="AL37" i="4"/>
  <c r="AI35" i="4"/>
  <c r="AQ33" i="2"/>
  <c r="AO33" i="2"/>
  <c r="AO36" i="4"/>
  <c r="T33" i="4"/>
  <c r="AS33" i="2"/>
  <c r="AM33" i="2"/>
  <c r="K32" i="2"/>
  <c r="L32" i="2"/>
  <c r="AL31" i="2"/>
  <c r="AR33" i="2"/>
  <c r="AL33" i="2"/>
  <c r="AN38" i="4"/>
  <c r="AM38" i="4"/>
  <c r="N33" i="4"/>
  <c r="AL35" i="2"/>
  <c r="U34" i="2"/>
  <c r="AA34" i="2"/>
  <c r="X175" i="2"/>
  <c r="X170" i="2"/>
  <c r="X226" i="2"/>
  <c r="X207" i="2"/>
  <c r="X148" i="4"/>
  <c r="AL141" i="4"/>
  <c r="AM141" i="4"/>
  <c r="L149" i="4"/>
  <c r="AN124" i="4"/>
  <c r="AM124" i="4"/>
  <c r="AJ176" i="2"/>
  <c r="AJ133" i="4"/>
  <c r="Y207" i="2"/>
  <c r="AQ126" i="4"/>
  <c r="AF126" i="4"/>
  <c r="AN121" i="4"/>
  <c r="AM121" i="4"/>
  <c r="Y33" i="2"/>
  <c r="X33" i="2"/>
  <c r="AL108" i="4"/>
  <c r="AM108" i="4"/>
  <c r="AN140" i="4"/>
  <c r="AM140" i="4"/>
  <c r="AL150" i="4"/>
  <c r="AM150" i="4"/>
  <c r="Y232" i="2"/>
  <c r="X232" i="2"/>
  <c r="AM102" i="4"/>
  <c r="Y175" i="2"/>
  <c r="AJ149" i="4"/>
  <c r="AJ143" i="2"/>
  <c r="AO137" i="2"/>
  <c r="AJ120" i="4"/>
  <c r="L114" i="4"/>
  <c r="Y222" i="2"/>
  <c r="X222" i="2"/>
  <c r="L141" i="4"/>
  <c r="AM63" i="4"/>
  <c r="H112" i="4"/>
  <c r="AQ112" i="4"/>
  <c r="L147" i="4"/>
  <c r="AL136" i="4"/>
  <c r="AM136" i="4"/>
  <c r="Y226" i="2"/>
  <c r="AO145" i="2"/>
  <c r="AL144" i="4"/>
  <c r="O170" i="2"/>
  <c r="O215" i="2"/>
  <c r="AJ123" i="4"/>
  <c r="M111" i="4"/>
  <c r="L111" i="4"/>
  <c r="AJ108" i="2"/>
  <c r="AN95" i="4"/>
  <c r="AM95" i="4"/>
  <c r="AJ95" i="4"/>
  <c r="AL138" i="4"/>
  <c r="AM138" i="4"/>
  <c r="AL137" i="4"/>
  <c r="AM137" i="4"/>
  <c r="AN151" i="4"/>
  <c r="AM151" i="4"/>
  <c r="O187" i="2"/>
  <c r="O203" i="2"/>
  <c r="AI116" i="4"/>
  <c r="AO91" i="2"/>
  <c r="AM77" i="4"/>
  <c r="L71" i="2"/>
  <c r="AJ60" i="4"/>
  <c r="AP43" i="4"/>
  <c r="X102" i="4"/>
  <c r="AN94" i="4"/>
  <c r="AM94" i="4"/>
  <c r="AO88" i="2"/>
  <c r="L39" i="4"/>
  <c r="E34" i="4"/>
  <c r="AG32" i="2"/>
  <c r="AP32" i="2"/>
  <c r="AO32" i="2"/>
  <c r="L81" i="4"/>
  <c r="Y42" i="2"/>
  <c r="X42" i="2"/>
  <c r="AR42" i="2"/>
  <c r="AL42" i="2"/>
  <c r="AQ42" i="2"/>
  <c r="AO42" i="2"/>
  <c r="L51" i="4"/>
  <c r="AK39" i="4"/>
  <c r="O42" i="2"/>
  <c r="L89" i="4"/>
  <c r="L79" i="2"/>
  <c r="AL78" i="4"/>
  <c r="Q39" i="4"/>
  <c r="AO98" i="2"/>
  <c r="L94" i="2"/>
  <c r="AN96" i="4"/>
  <c r="AM96" i="4"/>
  <c r="L41" i="4"/>
  <c r="AM19" i="4"/>
  <c r="O37" i="2"/>
  <c r="K36" i="4"/>
  <c r="Z43" i="4"/>
  <c r="AM33" i="4"/>
  <c r="X37" i="4"/>
  <c r="AN35" i="4"/>
  <c r="AJ35" i="4"/>
  <c r="X31" i="2"/>
  <c r="AM37" i="4"/>
  <c r="AN112" i="4"/>
  <c r="AJ112" i="4"/>
  <c r="AM144" i="4"/>
  <c r="L117" i="4"/>
  <c r="AL112" i="4"/>
  <c r="AM112" i="4"/>
  <c r="AL44" i="4"/>
  <c r="AM44" i="4"/>
  <c r="AL134" i="4"/>
  <c r="AM134" i="4"/>
  <c r="AJ134" i="4"/>
  <c r="AM70" i="4"/>
  <c r="AM78" i="4"/>
  <c r="X39" i="4"/>
  <c r="X40" i="4"/>
  <c r="AL42" i="4"/>
  <c r="AM42" i="4"/>
  <c r="AM59" i="4"/>
  <c r="X33" i="4"/>
  <c r="X43" i="4"/>
  <c r="AL43" i="4"/>
  <c r="AM43" i="4"/>
  <c r="AL34" i="4"/>
  <c r="X41" i="4"/>
  <c r="AL41" i="4"/>
  <c r="AM41" i="4"/>
  <c r="L35" i="4"/>
  <c r="AN36" i="4"/>
  <c r="X34" i="4"/>
  <c r="AN34" i="4"/>
  <c r="AL35" i="4"/>
  <c r="AM35" i="4"/>
  <c r="AJ116" i="4"/>
  <c r="AL116" i="4"/>
  <c r="AM116" i="4"/>
  <c r="AN111" i="4"/>
  <c r="AM111" i="4"/>
  <c r="L36" i="4"/>
  <c r="AL36" i="4"/>
  <c r="AM36" i="4"/>
  <c r="AN39" i="4"/>
  <c r="AM39" i="4"/>
  <c r="AJ39" i="4"/>
  <c r="AM34" i="4"/>
</calcChain>
</file>

<file path=xl/comments1.xml><?xml version="1.0" encoding="utf-8"?>
<comments xmlns="http://schemas.openxmlformats.org/spreadsheetml/2006/main">
  <authors>
    <author>Lotte Schlegel</author>
  </authors>
  <commentList>
    <comment ref="N155" authorId="0" shapeId="0">
      <text>
        <r>
          <rPr>
            <b/>
            <sz val="8"/>
            <color rgb="FF000000"/>
            <rFont val="Tahoma"/>
            <family val="2"/>
          </rPr>
          <t xml:space="preserve">Prior to this date, % represented % residential customers on CEP
</t>
        </r>
        <r>
          <rPr>
            <b/>
            <sz val="8"/>
            <color rgb="FF000000"/>
            <rFont val="Tahoma"/>
            <family val="2"/>
          </rPr>
          <t>As of this date, % represents all small customers on CEPs</t>
        </r>
      </text>
    </comment>
  </commentList>
</comments>
</file>

<file path=xl/comments2.xml><?xml version="1.0" encoding="utf-8"?>
<comments xmlns="http://schemas.openxmlformats.org/spreadsheetml/2006/main">
  <authors>
    <author>State of Maine</author>
  </authors>
  <commentList>
    <comment ref="Y94" authorId="0" shapeId="0">
      <text>
        <r>
          <rPr>
            <b/>
            <sz val="8"/>
            <color rgb="FF000000"/>
            <rFont val="Tahoma"/>
            <family val="2"/>
          </rPr>
          <t>State of Maine:</t>
        </r>
        <r>
          <rPr>
            <sz val="8"/>
            <color rgb="FF000000"/>
            <rFont val="Tahoma"/>
            <family val="2"/>
          </rPr>
          <t xml:space="preserve">
</t>
        </r>
        <r>
          <rPr>
            <sz val="8"/>
            <color rgb="FF000000"/>
            <rFont val="Tahoma"/>
            <family val="2"/>
          </rPr>
          <t>Note that as of January 2012, CMP customer count (and load) data are based upon billed accounts, rather than active accounts as was done previously. This change in reporting is the reason for the large increase in total customer count from December 2011.</t>
        </r>
      </text>
    </comment>
  </commentList>
</comments>
</file>

<file path=xl/sharedStrings.xml><?xml version="1.0" encoding="utf-8"?>
<sst xmlns="http://schemas.openxmlformats.org/spreadsheetml/2006/main" count="143" uniqueCount="54">
  <si>
    <t>Date</t>
  </si>
  <si>
    <t>Small class</t>
  </si>
  <si>
    <t>Statewide</t>
  </si>
  <si>
    <t>Medium class</t>
  </si>
  <si>
    <t>Large class</t>
  </si>
  <si>
    <t>Small Class</t>
  </si>
  <si>
    <t>Medium Class</t>
  </si>
  <si>
    <t>Large Class</t>
  </si>
  <si>
    <t>% CEP</t>
  </si>
  <si>
    <t># customers in class</t>
  </si>
  <si>
    <t># CEP</t>
  </si>
  <si>
    <t>Percentage of Load served by Competitive Electric Providers (CEPs) for each of Maine's three largest electric utilities</t>
  </si>
  <si>
    <t>Central Maine Power Company</t>
  </si>
  <si>
    <t>% Load CEP</t>
  </si>
  <si>
    <t>Central Maine Power</t>
  </si>
  <si>
    <t>Total customers</t>
  </si>
  <si>
    <t>load CEP</t>
  </si>
  <si>
    <t>All CMP</t>
  </si>
  <si>
    <t>Load CEP</t>
  </si>
  <si>
    <t>Res/sm. Com</t>
  </si>
  <si>
    <t>Med</t>
  </si>
  <si>
    <t>Large</t>
  </si>
  <si>
    <t xml:space="preserve">All CMP </t>
  </si>
  <si>
    <t>Number of Customers served by Competitive Electric Providers (CEPs) for each of Maine's three largest electric utilities</t>
  </si>
  <si>
    <t xml:space="preserve">Small </t>
  </si>
  <si>
    <t>Medium</t>
  </si>
  <si>
    <t>Small</t>
  </si>
  <si>
    <t>ALL</t>
  </si>
  <si>
    <t>Percentage of customers enrolled with CEPs</t>
  </si>
  <si>
    <t>Total Number of Customers by class</t>
  </si>
  <si>
    <t xml:space="preserve">Class definitions:  </t>
  </si>
  <si>
    <t>CMP</t>
  </si>
  <si>
    <t>Res./Sm. Comm.</t>
  </si>
  <si>
    <t>&lt;25 kW</t>
  </si>
  <si>
    <t>&lt;20 kW</t>
  </si>
  <si>
    <t>&lt;50 kW</t>
  </si>
  <si>
    <t>&gt;500 kW</t>
  </si>
  <si>
    <t>&gt;400 kW</t>
  </si>
  <si>
    <t>25-500kW</t>
  </si>
  <si>
    <t>20-400 kW</t>
  </si>
  <si>
    <t>50-500 kW</t>
  </si>
  <si>
    <t>Load data is expressed in MWhs and represents one day's electric use</t>
  </si>
  <si>
    <t>Utility</t>
  </si>
  <si>
    <t>Total Class Load (MWh)</t>
  </si>
  <si>
    <t>Total Load (MWh)</t>
  </si>
  <si>
    <t>Load CEP (MWh)</t>
  </si>
  <si>
    <t>EM-BHD</t>
  </si>
  <si>
    <t>EM-MPD</t>
  </si>
  <si>
    <t>Emera Maine - Bangor Hydro District</t>
  </si>
  <si>
    <t>Emera Maine - Maine Public District</t>
  </si>
  <si>
    <t xml:space="preserve">All EM-BHD </t>
  </si>
  <si>
    <t>All EM-MPD</t>
  </si>
  <si>
    <t>All EM-BHD</t>
  </si>
  <si>
    <t>Avg Daily Load CEP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</si>
</sst>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9" formatCode="0.0%"/>
    <numFmt numFmtId="176" formatCode="_(* #,##0_);_(* \(#,##0\);_(* &quot;-&quot;??_);_(@_)"/>
    <numFmt numFmtId="187" formatCode="[$-409]mmm\-yy;@"/>
  </numFmts>
  <fonts count="15" x14ac:knownFonts="1">
    <font>
      <sz val="10"/>
      <name val="Arial"/>
    </font>
    <font>
      <sz val="10"/>
      <name val="Arial"/>
    </font>
    <font>
      <b/>
      <sz val="10"/>
      <name val="Arial"/>
      <family val="2"/>
    </font>
    <font>
      <sz val="8"/>
      <name val="Arial"/>
      <family val="2"/>
    </font>
    <font>
      <b/>
      <sz val="14"/>
      <name val="Arial"/>
      <family val="2"/>
    </font>
    <font>
      <sz val="8"/>
      <name val="Arial"/>
      <family val="2"/>
    </font>
    <font>
      <sz val="10"/>
      <name val="Arial"/>
      <family val="2"/>
    </font>
    <font>
      <sz val="12"/>
      <name val="Arial"/>
      <family val="2"/>
    </font>
    <font>
      <i/>
      <sz val="12"/>
      <name val="Arial"/>
      <family val="2"/>
    </font>
    <font>
      <i/>
      <sz val="10"/>
      <name val="Arial"/>
      <family val="2"/>
    </font>
    <font>
      <b/>
      <sz val="12"/>
      <name val="Arial"/>
      <family val="2"/>
    </font>
    <font>
      <sz val="10"/>
      <name val="Arial"/>
      <family val="2"/>
    </font>
    <font>
      <sz val="10"/>
      <color indexed="8"/>
      <name val="Arial"/>
    </font>
    <font>
      <b/>
      <sz val="8"/>
      <color rgb="FF000000"/>
      <name val="Tahoma"/>
      <family val="2"/>
    </font>
    <font>
      <sz val="8"/>
      <color rgb="FF000000"/>
      <name val="Tahoma"/>
      <family val="2"/>
    </font>
  </fonts>
  <fills count="2">
    <fill>
      <patternFill patternType="none"/>
    </fill>
    <fill>
      <patternFill patternType="gray125"/>
    </fill>
  </fills>
  <borders count="37">
    <border>
      <left/>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cellStyleXfs>
  <cellXfs count="235">
    <xf numFmtId="0" fontId="0" fillId="0" borderId="0" xfId="0"/>
    <xf numFmtId="0" fontId="5" fillId="0" borderId="0" xfId="0" applyFont="1" applyBorder="1" applyAlignment="1">
      <alignment horizontal="center" vertical="center"/>
    </xf>
    <xf numFmtId="1" fontId="5" fillId="0" borderId="0" xfId="0" applyNumberFormat="1" applyFont="1" applyBorder="1" applyAlignment="1">
      <alignment horizontal="center" vertical="center"/>
    </xf>
    <xf numFmtId="3" fontId="0" fillId="0" borderId="0" xfId="0" applyNumberFormat="1" applyBorder="1" applyAlignment="1">
      <alignment horizontal="center"/>
    </xf>
    <xf numFmtId="3" fontId="0" fillId="0" borderId="0" xfId="0" applyNumberFormat="1" applyFill="1" applyBorder="1" applyAlignment="1">
      <alignment horizontal="center"/>
    </xf>
    <xf numFmtId="0" fontId="0" fillId="0" borderId="0" xfId="0" applyAlignment="1">
      <alignment horizontal="center"/>
    </xf>
    <xf numFmtId="3" fontId="6" fillId="0" borderId="0" xfId="0" applyNumberFormat="1" applyFont="1" applyBorder="1" applyAlignment="1">
      <alignment horizontal="center"/>
    </xf>
    <xf numFmtId="169" fontId="0" fillId="0" borderId="0" xfId="0" applyNumberFormat="1" applyBorder="1" applyAlignment="1">
      <alignment horizontal="center"/>
    </xf>
    <xf numFmtId="169" fontId="6" fillId="0" borderId="0" xfId="0" applyNumberFormat="1" applyFont="1" applyBorder="1" applyAlignment="1">
      <alignment horizontal="center"/>
    </xf>
    <xf numFmtId="9" fontId="5" fillId="0" borderId="0" xfId="0" applyNumberFormat="1" applyFont="1" applyBorder="1" applyAlignment="1">
      <alignment horizontal="center" vertical="center"/>
    </xf>
    <xf numFmtId="0" fontId="6" fillId="0" borderId="0" xfId="0" applyFont="1" applyBorder="1" applyAlignment="1">
      <alignment horizontal="center"/>
    </xf>
    <xf numFmtId="3" fontId="6" fillId="0" borderId="0" xfId="0" applyNumberFormat="1" applyFont="1" applyFill="1" applyBorder="1" applyAlignment="1">
      <alignment horizontal="center" vertical="center"/>
    </xf>
    <xf numFmtId="3" fontId="0" fillId="0" borderId="0" xfId="0" applyNumberFormat="1" applyAlignment="1">
      <alignment horizontal="center"/>
    </xf>
    <xf numFmtId="0" fontId="0" fillId="0" borderId="0" xfId="0" applyBorder="1" applyAlignment="1">
      <alignment horizontal="center"/>
    </xf>
    <xf numFmtId="169" fontId="6" fillId="0" borderId="0" xfId="0" applyNumberFormat="1" applyFont="1" applyBorder="1" applyAlignment="1">
      <alignment horizontal="center" vertical="center"/>
    </xf>
    <xf numFmtId="0" fontId="0" fillId="0" borderId="0" xfId="0" applyBorder="1"/>
    <xf numFmtId="3" fontId="0" fillId="0" borderId="0" xfId="0" applyNumberFormat="1"/>
    <xf numFmtId="3" fontId="6" fillId="0" borderId="0" xfId="0" applyNumberFormat="1" applyFont="1" applyBorder="1" applyAlignment="1">
      <alignment horizontal="center" vertical="center"/>
    </xf>
    <xf numFmtId="0" fontId="0" fillId="0" borderId="1" xfId="0" applyBorder="1"/>
    <xf numFmtId="0" fontId="0" fillId="0" borderId="2" xfId="0" applyBorder="1"/>
    <xf numFmtId="9" fontId="5" fillId="0" borderId="1" xfId="0" applyNumberFormat="1" applyFont="1" applyBorder="1" applyAlignment="1">
      <alignment horizontal="center" vertical="center"/>
    </xf>
    <xf numFmtId="1" fontId="5" fillId="0" borderId="2" xfId="0" applyNumberFormat="1" applyFont="1" applyBorder="1" applyAlignment="1">
      <alignment horizontal="center" vertical="center"/>
    </xf>
    <xf numFmtId="169" fontId="6" fillId="0" borderId="1" xfId="0" applyNumberFormat="1" applyFont="1" applyBorder="1" applyAlignment="1">
      <alignment horizontal="center" vertical="center"/>
    </xf>
    <xf numFmtId="3" fontId="6" fillId="0" borderId="2" xfId="0" applyNumberFormat="1" applyFont="1" applyBorder="1" applyAlignment="1">
      <alignment horizontal="center"/>
    </xf>
    <xf numFmtId="3" fontId="6" fillId="0" borderId="2" xfId="0" applyNumberFormat="1" applyFont="1" applyBorder="1" applyAlignment="1">
      <alignment horizontal="center" vertical="center"/>
    </xf>
    <xf numFmtId="169" fontId="0" fillId="0" borderId="1" xfId="0" applyNumberFormat="1" applyBorder="1" applyAlignment="1">
      <alignment horizontal="center"/>
    </xf>
    <xf numFmtId="3" fontId="0" fillId="0" borderId="2" xfId="0" applyNumberFormat="1" applyBorder="1" applyAlignment="1">
      <alignment horizontal="center"/>
    </xf>
    <xf numFmtId="3" fontId="1" fillId="0" borderId="2" xfId="0" applyNumberFormat="1" applyFont="1" applyBorder="1" applyAlignment="1">
      <alignment horizontal="center"/>
    </xf>
    <xf numFmtId="1" fontId="5" fillId="0" borderId="1" xfId="0" applyNumberFormat="1" applyFont="1" applyBorder="1" applyAlignment="1">
      <alignment horizontal="center" vertical="center"/>
    </xf>
    <xf numFmtId="0" fontId="0" fillId="0" borderId="3" xfId="0" applyBorder="1"/>
    <xf numFmtId="169" fontId="1" fillId="0" borderId="0" xfId="0" applyNumberFormat="1" applyFont="1" applyBorder="1" applyAlignment="1">
      <alignment horizontal="center"/>
    </xf>
    <xf numFmtId="0" fontId="0" fillId="0" borderId="4" xfId="0" applyBorder="1"/>
    <xf numFmtId="0" fontId="0" fillId="0" borderId="5" xfId="0" applyBorder="1"/>
    <xf numFmtId="9" fontId="5" fillId="0" borderId="4" xfId="0" applyNumberFormat="1" applyFont="1" applyBorder="1" applyAlignment="1">
      <alignment horizontal="center" vertical="center"/>
    </xf>
    <xf numFmtId="1" fontId="5" fillId="0" borderId="5" xfId="0" applyNumberFormat="1" applyFont="1" applyBorder="1" applyAlignment="1">
      <alignment horizontal="center" vertical="center"/>
    </xf>
    <xf numFmtId="169" fontId="6" fillId="0" borderId="4" xfId="0" applyNumberFormat="1" applyFont="1" applyBorder="1" applyAlignment="1">
      <alignment horizontal="center" vertical="center"/>
    </xf>
    <xf numFmtId="3" fontId="1" fillId="0" borderId="5" xfId="0" applyNumberFormat="1" applyFont="1" applyBorder="1" applyAlignment="1">
      <alignment horizontal="center"/>
    </xf>
    <xf numFmtId="3" fontId="6" fillId="0" borderId="5" xfId="0" applyNumberFormat="1" applyFont="1" applyBorder="1" applyAlignment="1">
      <alignment horizontal="center" vertical="center"/>
    </xf>
    <xf numFmtId="3" fontId="6" fillId="0" borderId="5" xfId="0" applyNumberFormat="1" applyFont="1" applyBorder="1" applyAlignment="1">
      <alignment horizontal="center"/>
    </xf>
    <xf numFmtId="169" fontId="0" fillId="0" borderId="4" xfId="0" applyNumberFormat="1" applyBorder="1" applyAlignment="1">
      <alignment horizontal="center"/>
    </xf>
    <xf numFmtId="3" fontId="0" fillId="0" borderId="5" xfId="0" applyNumberForma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169" fontId="0" fillId="0" borderId="1" xfId="0" applyNumberFormat="1" applyFill="1" applyBorder="1" applyAlignment="1">
      <alignment horizontal="center"/>
    </xf>
    <xf numFmtId="169" fontId="6" fillId="0" borderId="4" xfId="0" applyNumberFormat="1" applyFont="1" applyFill="1" applyBorder="1" applyAlignment="1">
      <alignment horizontal="center" vertical="center"/>
    </xf>
    <xf numFmtId="0" fontId="5" fillId="0" borderId="5" xfId="0" applyFont="1" applyBorder="1" applyAlignment="1">
      <alignment horizontal="center" vertical="center"/>
    </xf>
    <xf numFmtId="169" fontId="0" fillId="0" borderId="4" xfId="2" applyNumberFormat="1" applyFont="1" applyFill="1" applyBorder="1" applyAlignment="1">
      <alignment horizontal="center"/>
    </xf>
    <xf numFmtId="169" fontId="0" fillId="0" borderId="4" xfId="2" applyNumberFormat="1" applyFont="1" applyBorder="1" applyAlignment="1">
      <alignment horizontal="center"/>
    </xf>
    <xf numFmtId="3" fontId="6" fillId="0" borderId="2" xfId="0" applyNumberFormat="1" applyFont="1" applyFill="1" applyBorder="1" applyAlignment="1">
      <alignment horizontal="center"/>
    </xf>
    <xf numFmtId="1" fontId="0" fillId="0" borderId="0" xfId="0" applyNumberFormat="1" applyBorder="1" applyAlignment="1">
      <alignment horizontal="center"/>
    </xf>
    <xf numFmtId="0" fontId="5" fillId="0" borderId="4" xfId="0" applyFont="1" applyBorder="1" applyAlignment="1">
      <alignment horizontal="center" vertical="center"/>
    </xf>
    <xf numFmtId="1" fontId="6" fillId="0" borderId="5" xfId="0" applyNumberFormat="1" applyFont="1" applyBorder="1" applyAlignment="1">
      <alignment horizontal="center" vertical="center"/>
    </xf>
    <xf numFmtId="0" fontId="0" fillId="0" borderId="6"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6" fillId="0" borderId="4" xfId="0" applyFont="1" applyBorder="1" applyAlignment="1">
      <alignment horizontal="center" vertical="center"/>
    </xf>
    <xf numFmtId="0" fontId="6" fillId="0" borderId="4" xfId="0" applyFont="1" applyFill="1" applyBorder="1" applyAlignment="1">
      <alignment horizontal="center" vertical="center"/>
    </xf>
    <xf numFmtId="37" fontId="1" fillId="0" borderId="5" xfId="0" applyNumberFormat="1" applyFont="1" applyBorder="1" applyAlignment="1" applyProtection="1">
      <alignment horizontal="center"/>
    </xf>
    <xf numFmtId="3" fontId="6" fillId="0" borderId="4" xfId="0" applyNumberFormat="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3" fontId="0" fillId="0" borderId="1" xfId="0" applyNumberFormat="1" applyBorder="1" applyAlignment="1">
      <alignment horizontal="center"/>
    </xf>
    <xf numFmtId="3" fontId="0" fillId="0" borderId="1" xfId="0" applyNumberFormat="1" applyBorder="1"/>
    <xf numFmtId="3" fontId="0" fillId="0" borderId="1" xfId="2" applyNumberFormat="1" applyFont="1" applyBorder="1"/>
    <xf numFmtId="3" fontId="0" fillId="0" borderId="1" xfId="0" applyNumberFormat="1" applyFill="1" applyBorder="1" applyAlignment="1">
      <alignment horizontal="center"/>
    </xf>
    <xf numFmtId="169" fontId="0" fillId="0" borderId="0" xfId="0" applyNumberFormat="1" applyFill="1" applyBorder="1" applyAlignment="1">
      <alignment horizontal="center"/>
    </xf>
    <xf numFmtId="3" fontId="0" fillId="0" borderId="4" xfId="0" applyNumberFormat="1" applyBorder="1" applyAlignment="1">
      <alignment horizontal="center"/>
    </xf>
    <xf numFmtId="3" fontId="6" fillId="0" borderId="4" xfId="0" applyNumberFormat="1" applyFont="1" applyFill="1" applyBorder="1" applyAlignment="1">
      <alignment horizontal="center" vertical="center"/>
    </xf>
    <xf numFmtId="3" fontId="6" fillId="0" borderId="5" xfId="0" applyNumberFormat="1" applyFont="1" applyFill="1" applyBorder="1" applyAlignment="1">
      <alignment horizontal="center"/>
    </xf>
    <xf numFmtId="0" fontId="0" fillId="0" borderId="2" xfId="0" applyFill="1" applyBorder="1" applyAlignment="1">
      <alignment horizontal="center"/>
    </xf>
    <xf numFmtId="3" fontId="1" fillId="0" borderId="0" xfId="0" applyNumberFormat="1" applyFont="1" applyBorder="1" applyAlignment="1">
      <alignment horizontal="center"/>
    </xf>
    <xf numFmtId="169" fontId="6" fillId="0" borderId="0" xfId="0" applyNumberFormat="1" applyFont="1" applyFill="1" applyBorder="1" applyAlignment="1">
      <alignment horizontal="center" vertical="center"/>
    </xf>
    <xf numFmtId="3" fontId="0" fillId="0" borderId="0" xfId="2" applyNumberFormat="1" applyFont="1" applyBorder="1" applyAlignment="1">
      <alignment horizontal="center"/>
    </xf>
    <xf numFmtId="3" fontId="0" fillId="0" borderId="0" xfId="2" applyNumberFormat="1" applyFont="1" applyFill="1" applyBorder="1" applyAlignment="1">
      <alignment horizontal="center"/>
    </xf>
    <xf numFmtId="3" fontId="6" fillId="0" borderId="0" xfId="0" applyNumberFormat="1" applyFont="1" applyAlignment="1">
      <alignment horizontal="center"/>
    </xf>
    <xf numFmtId="1" fontId="6" fillId="0" borderId="0" xfId="0" applyNumberFormat="1" applyFont="1" applyFill="1" applyBorder="1" applyAlignment="1">
      <alignment horizontal="center" vertical="center"/>
    </xf>
    <xf numFmtId="0" fontId="0" fillId="0" borderId="4" xfId="0" applyFill="1" applyBorder="1" applyAlignment="1">
      <alignment horizontal="center"/>
    </xf>
    <xf numFmtId="169" fontId="6" fillId="0" borderId="1" xfId="0" applyNumberFormat="1" applyFont="1" applyFill="1" applyBorder="1" applyAlignment="1">
      <alignment horizontal="center" vertical="center"/>
    </xf>
    <xf numFmtId="169" fontId="1" fillId="0" borderId="4"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0" fontId="6" fillId="0" borderId="5" xfId="0" applyFont="1" applyFill="1" applyBorder="1" applyAlignment="1">
      <alignment horizontal="center" vertical="center"/>
    </xf>
    <xf numFmtId="169" fontId="5" fillId="0" borderId="1" xfId="0" applyNumberFormat="1" applyFont="1" applyBorder="1" applyAlignment="1">
      <alignment horizontal="center" vertical="center"/>
    </xf>
    <xf numFmtId="1" fontId="0" fillId="0" borderId="0" xfId="0" applyNumberFormat="1" applyFill="1" applyBorder="1" applyAlignment="1">
      <alignment horizontal="center"/>
    </xf>
    <xf numFmtId="3" fontId="0" fillId="0" borderId="2" xfId="0" applyNumberFormat="1" applyFill="1" applyBorder="1" applyAlignment="1">
      <alignment horizontal="center"/>
    </xf>
    <xf numFmtId="1" fontId="6" fillId="0" borderId="2" xfId="0" applyNumberFormat="1" applyFont="1" applyFill="1" applyBorder="1" applyAlignment="1">
      <alignment horizontal="center"/>
    </xf>
    <xf numFmtId="9" fontId="0" fillId="0" borderId="0" xfId="0" applyNumberFormat="1" applyBorder="1" applyAlignment="1">
      <alignment horizontal="center"/>
    </xf>
    <xf numFmtId="3" fontId="1" fillId="0" borderId="1" xfId="0" applyNumberFormat="1" applyFont="1" applyBorder="1" applyAlignment="1">
      <alignment horizontal="center"/>
    </xf>
    <xf numFmtId="3" fontId="6" fillId="0" borderId="1" xfId="0" applyNumberFormat="1" applyFont="1" applyBorder="1" applyAlignment="1">
      <alignment horizontal="center" vertical="center"/>
    </xf>
    <xf numFmtId="0" fontId="0" fillId="0" borderId="10" xfId="0" applyBorder="1" applyAlignment="1">
      <alignment horizontal="center"/>
    </xf>
    <xf numFmtId="0" fontId="0" fillId="0" borderId="11" xfId="0" applyBorder="1"/>
    <xf numFmtId="0" fontId="0" fillId="0" borderId="10" xfId="0" applyBorder="1"/>
    <xf numFmtId="3" fontId="0" fillId="0" borderId="10" xfId="0" applyNumberFormat="1" applyBorder="1" applyAlignment="1">
      <alignment horizontal="center"/>
    </xf>
    <xf numFmtId="169" fontId="0" fillId="0" borderId="11" xfId="0" applyNumberFormat="1" applyBorder="1" applyAlignment="1">
      <alignment horizontal="center"/>
    </xf>
    <xf numFmtId="37" fontId="0" fillId="0" borderId="0" xfId="0" applyNumberFormat="1" applyBorder="1" applyAlignment="1">
      <alignment horizontal="center"/>
    </xf>
    <xf numFmtId="0" fontId="7" fillId="0" borderId="0" xfId="0" applyFont="1"/>
    <xf numFmtId="0" fontId="8" fillId="0" borderId="0" xfId="0" applyFont="1"/>
    <xf numFmtId="0" fontId="8" fillId="0" borderId="0" xfId="0" applyFont="1" applyAlignment="1"/>
    <xf numFmtId="0" fontId="7" fillId="0" borderId="0" xfId="0" applyFont="1" applyAlignment="1"/>
    <xf numFmtId="169" fontId="0" fillId="0" borderId="0" xfId="0" applyNumberFormat="1" applyAlignment="1">
      <alignment horizontal="center"/>
    </xf>
    <xf numFmtId="0" fontId="9" fillId="0" borderId="0" xfId="0" applyFont="1"/>
    <xf numFmtId="0" fontId="1" fillId="0" borderId="0" xfId="0" applyFont="1" applyAlignment="1">
      <alignment horizontal="center"/>
    </xf>
    <xf numFmtId="1" fontId="0" fillId="0" borderId="2" xfId="0" applyNumberFormat="1" applyFill="1" applyBorder="1" applyAlignment="1">
      <alignment horizontal="center"/>
    </xf>
    <xf numFmtId="1" fontId="0" fillId="0" borderId="2" xfId="0" applyNumberFormat="1" applyBorder="1" applyAlignment="1">
      <alignment horizontal="center"/>
    </xf>
    <xf numFmtId="1" fontId="6" fillId="0" borderId="0" xfId="0" applyNumberFormat="1" applyFont="1" applyBorder="1" applyAlignment="1">
      <alignment horizontal="center" vertical="center"/>
    </xf>
    <xf numFmtId="3" fontId="0" fillId="0" borderId="0" xfId="0" applyNumberFormat="1" applyFill="1" applyAlignment="1">
      <alignment horizontal="center"/>
    </xf>
    <xf numFmtId="3" fontId="1" fillId="0" borderId="0" xfId="0" applyNumberFormat="1" applyFont="1" applyBorder="1" applyAlignment="1" applyProtection="1">
      <alignment horizontal="center"/>
    </xf>
    <xf numFmtId="169" fontId="0" fillId="0" borderId="3" xfId="0" applyNumberFormat="1" applyBorder="1" applyAlignment="1">
      <alignment horizontal="center"/>
    </xf>
    <xf numFmtId="3" fontId="0" fillId="0" borderId="6" xfId="0" applyNumberFormat="1" applyBorder="1" applyAlignment="1">
      <alignment horizontal="center"/>
    </xf>
    <xf numFmtId="3" fontId="0" fillId="0" borderId="7" xfId="0" applyNumberFormat="1" applyBorder="1" applyAlignment="1">
      <alignment horizontal="center"/>
    </xf>
    <xf numFmtId="3" fontId="0" fillId="0" borderId="9" xfId="0" applyNumberFormat="1" applyBorder="1" applyAlignment="1">
      <alignment horizontal="center"/>
    </xf>
    <xf numFmtId="169" fontId="0" fillId="0" borderId="3" xfId="0" applyNumberFormat="1" applyFill="1" applyBorder="1" applyAlignment="1">
      <alignment horizontal="center"/>
    </xf>
    <xf numFmtId="3" fontId="0" fillId="0" borderId="3" xfId="0" applyNumberFormat="1" applyBorder="1" applyAlignment="1">
      <alignment horizontal="center"/>
    </xf>
    <xf numFmtId="3" fontId="0" fillId="0" borderId="8" xfId="0" applyNumberFormat="1" applyBorder="1" applyAlignment="1">
      <alignment horizontal="center"/>
    </xf>
    <xf numFmtId="169" fontId="0" fillId="0" borderId="0" xfId="2" applyNumberFormat="1" applyFont="1" applyBorder="1" applyAlignment="1">
      <alignment horizontal="center"/>
    </xf>
    <xf numFmtId="3" fontId="0" fillId="0" borderId="0" xfId="0" applyNumberFormat="1" applyBorder="1"/>
    <xf numFmtId="169" fontId="0" fillId="0" borderId="1" xfId="2" applyNumberFormat="1" applyFont="1" applyBorder="1" applyAlignment="1">
      <alignment horizontal="center"/>
    </xf>
    <xf numFmtId="1" fontId="0" fillId="0" borderId="0" xfId="0" applyNumberFormat="1"/>
    <xf numFmtId="0" fontId="10" fillId="0" borderId="0" xfId="0" applyFont="1" applyAlignment="1"/>
    <xf numFmtId="9" fontId="5" fillId="0" borderId="6" xfId="0" applyNumberFormat="1" applyFont="1" applyBorder="1" applyAlignment="1">
      <alignment horizontal="center" vertical="center"/>
    </xf>
    <xf numFmtId="9" fontId="5" fillId="0" borderId="3" xfId="0" applyNumberFormat="1" applyFont="1" applyBorder="1" applyAlignment="1">
      <alignment horizontal="center" vertical="center"/>
    </xf>
    <xf numFmtId="1" fontId="5" fillId="0" borderId="3" xfId="0" applyNumberFormat="1" applyFont="1" applyBorder="1" applyAlignment="1">
      <alignment horizontal="center" vertical="center"/>
    </xf>
    <xf numFmtId="9" fontId="5" fillId="0" borderId="8" xfId="0" applyNumberFormat="1" applyFont="1" applyBorder="1" applyAlignment="1">
      <alignment horizontal="center" vertical="center"/>
    </xf>
    <xf numFmtId="1" fontId="5" fillId="0" borderId="9" xfId="0" applyNumberFormat="1" applyFont="1" applyBorder="1" applyAlignment="1">
      <alignment horizontal="center" vertical="center"/>
    </xf>
    <xf numFmtId="1" fontId="5" fillId="0" borderId="7" xfId="0" applyNumberFormat="1" applyFont="1" applyBorder="1" applyAlignment="1">
      <alignment horizontal="center" vertical="center"/>
    </xf>
    <xf numFmtId="1" fontId="5" fillId="0" borderId="6" xfId="0" applyNumberFormat="1" applyFont="1" applyBorder="1" applyAlignment="1">
      <alignment horizontal="center" vertical="center"/>
    </xf>
    <xf numFmtId="0" fontId="0" fillId="0" borderId="7" xfId="0" applyBorder="1"/>
    <xf numFmtId="169" fontId="6" fillId="0" borderId="6" xfId="0" applyNumberFormat="1" applyFont="1" applyBorder="1" applyAlignment="1">
      <alignment horizontal="center" vertical="center"/>
    </xf>
    <xf numFmtId="169" fontId="6" fillId="0" borderId="3" xfId="0" applyNumberFormat="1" applyFont="1" applyBorder="1" applyAlignment="1">
      <alignment horizontal="center" vertical="center"/>
    </xf>
    <xf numFmtId="0" fontId="5" fillId="0" borderId="9" xfId="0" applyFont="1" applyBorder="1" applyAlignment="1">
      <alignment horizontal="center" vertical="center"/>
    </xf>
    <xf numFmtId="169" fontId="6" fillId="0" borderId="8" xfId="0" applyNumberFormat="1" applyFont="1" applyFill="1" applyBorder="1" applyAlignment="1">
      <alignment horizontal="center" vertical="center"/>
    </xf>
    <xf numFmtId="169" fontId="6" fillId="0" borderId="3" xfId="0" applyNumberFormat="1" applyFont="1" applyFill="1" applyBorder="1" applyAlignment="1">
      <alignment horizontal="center" vertical="center"/>
    </xf>
    <xf numFmtId="169" fontId="6" fillId="0" borderId="8" xfId="0" applyNumberFormat="1"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1" fontId="0" fillId="0" borderId="5" xfId="0" applyNumberFormat="1" applyBorder="1" applyAlignment="1">
      <alignment horizontal="center"/>
    </xf>
    <xf numFmtId="0" fontId="0" fillId="0" borderId="6" xfId="0" applyBorder="1"/>
    <xf numFmtId="9" fontId="0" fillId="0" borderId="3" xfId="0" applyNumberFormat="1" applyBorder="1" applyAlignment="1">
      <alignment horizontal="center"/>
    </xf>
    <xf numFmtId="0" fontId="0" fillId="0" borderId="12" xfId="0" applyBorder="1"/>
    <xf numFmtId="9" fontId="0" fillId="0" borderId="13" xfId="0" applyNumberFormat="1" applyBorder="1" applyAlignment="1">
      <alignment horizontal="center"/>
    </xf>
    <xf numFmtId="0" fontId="0" fillId="0" borderId="13" xfId="0" applyBorder="1" applyAlignment="1">
      <alignment horizontal="center"/>
    </xf>
    <xf numFmtId="0" fontId="0" fillId="0" borderId="13" xfId="0" applyBorder="1"/>
    <xf numFmtId="0" fontId="0" fillId="0" borderId="14" xfId="0" applyBorder="1"/>
    <xf numFmtId="0" fontId="5" fillId="0" borderId="8" xfId="0" applyFont="1" applyBorder="1" applyAlignment="1">
      <alignment horizontal="center" vertical="center"/>
    </xf>
    <xf numFmtId="187" fontId="0" fillId="0" borderId="15" xfId="0" applyNumberFormat="1" applyBorder="1" applyAlignment="1">
      <alignment horizontal="left"/>
    </xf>
    <xf numFmtId="187" fontId="6" fillId="0" borderId="15" xfId="0" applyNumberFormat="1" applyFont="1" applyBorder="1" applyAlignment="1">
      <alignment horizontal="left" vertical="center"/>
    </xf>
    <xf numFmtId="187" fontId="6" fillId="0" borderId="16" xfId="0" applyNumberFormat="1" applyFont="1" applyBorder="1" applyAlignment="1">
      <alignment horizontal="left" vertical="center"/>
    </xf>
    <xf numFmtId="0" fontId="2" fillId="0" borderId="0" xfId="0" applyFont="1"/>
    <xf numFmtId="0" fontId="1" fillId="0" borderId="0" xfId="0" applyFont="1"/>
    <xf numFmtId="0" fontId="1" fillId="0" borderId="0" xfId="0" applyFont="1" applyAlignment="1"/>
    <xf numFmtId="0" fontId="6" fillId="0" borderId="0" xfId="0" applyFont="1" applyAlignment="1"/>
    <xf numFmtId="0" fontId="2" fillId="0" borderId="0" xfId="0" applyFont="1" applyAlignment="1"/>
    <xf numFmtId="0" fontId="6" fillId="0" borderId="0" xfId="0" applyFont="1" applyAlignment="1">
      <alignment horizontal="center"/>
    </xf>
    <xf numFmtId="0" fontId="2" fillId="0" borderId="0" xfId="0" applyFont="1" applyAlignment="1">
      <alignment horizontal="center"/>
    </xf>
    <xf numFmtId="0" fontId="6" fillId="0" borderId="0" xfId="0" applyFont="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wrapText="1"/>
    </xf>
    <xf numFmtId="0" fontId="0" fillId="0" borderId="18" xfId="0" applyBorder="1" applyAlignment="1">
      <alignment horizontal="center" wrapText="1"/>
    </xf>
    <xf numFmtId="0" fontId="0" fillId="0" borderId="20" xfId="0" applyFill="1" applyBorder="1" applyAlignment="1">
      <alignment horizontal="center"/>
    </xf>
    <xf numFmtId="0" fontId="0" fillId="0" borderId="21" xfId="0" applyBorder="1" applyAlignment="1">
      <alignment horizontal="center"/>
    </xf>
    <xf numFmtId="0" fontId="0" fillId="0" borderId="17"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23" xfId="0" applyFill="1" applyBorder="1" applyAlignment="1">
      <alignment horizontal="center"/>
    </xf>
    <xf numFmtId="169" fontId="0" fillId="0" borderId="2" xfId="0" applyNumberFormat="1" applyBorder="1" applyAlignment="1">
      <alignment horizontal="center"/>
    </xf>
    <xf numFmtId="0" fontId="0" fillId="0" borderId="24" xfId="0" applyBorder="1"/>
    <xf numFmtId="1" fontId="0" fillId="0" borderId="0" xfId="0" applyNumberFormat="1" applyBorder="1" applyAlignment="1">
      <alignment horizontal="center" wrapText="1"/>
    </xf>
    <xf numFmtId="3" fontId="0" fillId="0" borderId="0" xfId="0" applyNumberFormat="1" applyBorder="1" applyAlignment="1">
      <alignment horizontal="center" wrapText="1"/>
    </xf>
    <xf numFmtId="3" fontId="0" fillId="0" borderId="5" xfId="0" applyNumberFormat="1" applyBorder="1" applyAlignment="1">
      <alignment horizontal="center" wrapText="1"/>
    </xf>
    <xf numFmtId="1" fontId="0" fillId="0" borderId="5" xfId="0" applyNumberFormat="1" applyBorder="1" applyAlignment="1">
      <alignment horizontal="center" wrapText="1"/>
    </xf>
    <xf numFmtId="17" fontId="6" fillId="0" borderId="15" xfId="0" applyNumberFormat="1" applyFont="1" applyBorder="1" applyAlignment="1">
      <alignment horizontal="left"/>
    </xf>
    <xf numFmtId="1" fontId="0" fillId="0" borderId="4" xfId="0" applyNumberFormat="1" applyBorder="1" applyAlignment="1">
      <alignment horizontal="center"/>
    </xf>
    <xf numFmtId="0" fontId="0" fillId="0" borderId="5" xfId="0" applyBorder="1" applyAlignment="1">
      <alignment horizontal="center" wrapText="1"/>
    </xf>
    <xf numFmtId="3" fontId="0" fillId="0" borderId="0" xfId="0" applyNumberFormat="1" applyBorder="1" applyAlignment="1">
      <alignment horizontal="right"/>
    </xf>
    <xf numFmtId="3" fontId="0" fillId="0" borderId="0" xfId="0" applyNumberFormat="1" applyFill="1" applyBorder="1" applyAlignment="1">
      <alignment horizontal="center" wrapText="1"/>
    </xf>
    <xf numFmtId="3" fontId="0" fillId="0" borderId="0" xfId="0" applyNumberFormat="1" applyFill="1" applyBorder="1" applyAlignment="1">
      <alignment horizontal="right"/>
    </xf>
    <xf numFmtId="0" fontId="7" fillId="0" borderId="0" xfId="0" applyFont="1" applyFill="1"/>
    <xf numFmtId="0" fontId="0" fillId="0" borderId="0" xfId="0" applyFill="1"/>
    <xf numFmtId="0" fontId="0" fillId="0" borderId="0" xfId="0" applyBorder="1" applyAlignment="1">
      <alignment horizontal="center" wrapText="1"/>
    </xf>
    <xf numFmtId="169" fontId="11" fillId="0" borderId="0" xfId="2" applyNumberFormat="1" applyFont="1" applyFill="1" applyBorder="1" applyAlignment="1">
      <alignment horizontal="center"/>
    </xf>
    <xf numFmtId="1" fontId="0" fillId="0" borderId="4" xfId="0" applyNumberFormat="1" applyFill="1" applyBorder="1" applyAlignment="1">
      <alignment horizontal="center"/>
    </xf>
    <xf numFmtId="169" fontId="0" fillId="0" borderId="0" xfId="2" applyNumberFormat="1" applyFont="1" applyFill="1" applyBorder="1" applyAlignment="1">
      <alignment horizontal="center"/>
    </xf>
    <xf numFmtId="17" fontId="6" fillId="0" borderId="15" xfId="0" applyNumberFormat="1" applyFont="1" applyFill="1" applyBorder="1" applyAlignment="1">
      <alignment horizontal="left"/>
    </xf>
    <xf numFmtId="0" fontId="0" fillId="0" borderId="0" xfId="0" applyFill="1" applyBorder="1" applyAlignment="1">
      <alignment horizontal="center"/>
    </xf>
    <xf numFmtId="0" fontId="0" fillId="0" borderId="0" xfId="0" applyFill="1" applyBorder="1" applyAlignment="1">
      <alignment horizontal="center" wrapText="1"/>
    </xf>
    <xf numFmtId="169" fontId="0" fillId="0" borderId="4" xfId="0" applyNumberFormat="1" applyFill="1" applyBorder="1" applyAlignment="1">
      <alignment horizontal="center"/>
    </xf>
    <xf numFmtId="3" fontId="0" fillId="0" borderId="10" xfId="0" applyNumberFormat="1" applyFill="1" applyBorder="1" applyAlignment="1">
      <alignment horizontal="center"/>
    </xf>
    <xf numFmtId="169" fontId="0" fillId="0" borderId="11" xfId="0" applyNumberFormat="1" applyFill="1" applyBorder="1" applyAlignment="1">
      <alignment horizontal="center"/>
    </xf>
    <xf numFmtId="176" fontId="0" fillId="0" borderId="1" xfId="1" applyNumberFormat="1" applyFont="1" applyBorder="1" applyAlignment="1">
      <alignment horizontal="center"/>
    </xf>
    <xf numFmtId="176" fontId="6" fillId="0" borderId="1" xfId="1" applyNumberFormat="1" applyFont="1" applyBorder="1" applyAlignment="1">
      <alignment horizontal="center"/>
    </xf>
    <xf numFmtId="1" fontId="0" fillId="0" borderId="0" xfId="0" applyNumberFormat="1" applyFill="1" applyBorder="1" applyAlignment="1">
      <alignment horizontal="center" wrapText="1"/>
    </xf>
    <xf numFmtId="3" fontId="6" fillId="0" borderId="2" xfId="0" applyNumberFormat="1" applyFont="1" applyFill="1" applyBorder="1" applyAlignment="1">
      <alignment horizontal="center" vertical="center"/>
    </xf>
    <xf numFmtId="0" fontId="6" fillId="0" borderId="35" xfId="0" applyFont="1" applyBorder="1" applyAlignment="1">
      <alignment horizontal="center"/>
    </xf>
    <xf numFmtId="0" fontId="6" fillId="0" borderId="15" xfId="0" applyFont="1" applyBorder="1" applyAlignment="1"/>
    <xf numFmtId="0" fontId="6" fillId="0" borderId="36" xfId="0" applyFont="1" applyBorder="1" applyAlignment="1"/>
    <xf numFmtId="0" fontId="2" fillId="0" borderId="24" xfId="0" applyFont="1" applyBorder="1" applyAlignment="1">
      <alignment horizontal="center"/>
    </xf>
    <xf numFmtId="0" fontId="2" fillId="0" borderId="25" xfId="0" applyFont="1" applyBorder="1" applyAlignment="1">
      <alignment horizontal="center"/>
    </xf>
    <xf numFmtId="0" fontId="2" fillId="0" borderId="33" xfId="0" applyFont="1" applyBorder="1" applyAlignment="1">
      <alignment horizontal="center"/>
    </xf>
    <xf numFmtId="0" fontId="2" fillId="0" borderId="34" xfId="0" applyFont="1" applyBorder="1" applyAlignment="1">
      <alignment horizontal="center"/>
    </xf>
    <xf numFmtId="0" fontId="2" fillId="0" borderId="26" xfId="0" applyFont="1" applyBorder="1" applyAlignment="1">
      <alignment horizontal="center"/>
    </xf>
    <xf numFmtId="0" fontId="0" fillId="0" borderId="25" xfId="0"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4" fillId="0" borderId="30" xfId="0" applyFont="1" applyBorder="1" applyAlignment="1">
      <alignment horizontal="center"/>
    </xf>
    <xf numFmtId="0" fontId="2" fillId="0" borderId="31" xfId="0" applyFont="1" applyBorder="1" applyAlignment="1"/>
    <xf numFmtId="0" fontId="2" fillId="0" borderId="32" xfId="0" applyFont="1" applyBorder="1" applyAlignment="1"/>
    <xf numFmtId="0" fontId="4" fillId="0" borderId="24" xfId="0" applyFont="1" applyBorder="1" applyAlignment="1">
      <alignment horizontal="center"/>
    </xf>
    <xf numFmtId="0" fontId="4" fillId="0" borderId="25" xfId="0" applyFont="1" applyBorder="1" applyAlignment="1">
      <alignment horizontal="center"/>
    </xf>
    <xf numFmtId="0" fontId="0" fillId="0" borderId="35" xfId="0" applyBorder="1" applyAlignment="1"/>
    <xf numFmtId="0" fontId="0" fillId="0" borderId="15" xfId="0" applyBorder="1" applyAlignment="1"/>
    <xf numFmtId="0" fontId="0" fillId="0" borderId="36" xfId="0" applyBorder="1" applyAlignment="1"/>
    <xf numFmtId="0" fontId="2" fillId="0" borderId="4" xfId="0"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2" fillId="0" borderId="1" xfId="0" applyFont="1" applyBorder="1" applyAlignment="1">
      <alignment horizontal="center"/>
    </xf>
    <xf numFmtId="0" fontId="0" fillId="0" borderId="0" xfId="0" applyBorder="1" applyAlignment="1"/>
    <xf numFmtId="0" fontId="0" fillId="0" borderId="5" xfId="0" applyBorder="1" applyAlignment="1"/>
    <xf numFmtId="0" fontId="0" fillId="0" borderId="2" xfId="0" applyBorder="1" applyAlignment="1">
      <alignment horizontal="center"/>
    </xf>
    <xf numFmtId="0" fontId="2" fillId="0" borderId="0" xfId="0" applyFont="1" applyBorder="1" applyAlignment="1">
      <alignment horizontal="center"/>
    </xf>
    <xf numFmtId="0" fontId="0" fillId="0" borderId="28" xfId="0" applyBorder="1" applyAlignment="1"/>
    <xf numFmtId="0" fontId="0" fillId="0" borderId="29" xfId="0" applyBorder="1" applyAlignment="1"/>
    <xf numFmtId="0" fontId="0" fillId="0" borderId="25" xfId="0" applyBorder="1" applyAlignment="1"/>
    <xf numFmtId="0" fontId="0" fillId="0" borderId="26" xfId="0" applyBorder="1" applyAlignment="1"/>
    <xf numFmtId="0" fontId="0" fillId="0" borderId="34" xfId="0" applyBorder="1" applyAlignment="1"/>
    <xf numFmtId="0" fontId="0" fillId="0" borderId="34" xfId="0" applyBorder="1" applyAlignment="1">
      <alignment horizontal="center"/>
    </xf>
    <xf numFmtId="0" fontId="0" fillId="0" borderId="26" xfId="0" applyBorder="1" applyAlignment="1">
      <alignment horizontal="center"/>
    </xf>
  </cellXfs>
  <cellStyles count="4">
    <cellStyle name="Comma" xfId="1" builtinId="3"/>
    <cellStyle name="Normal" xfId="0" builtinId="0"/>
    <cellStyle name="Percent" xfId="2"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chartsheet" Target="chartsheets/sheet3.xml"/><Relationship Id="rId21" Type="http://schemas.openxmlformats.org/officeDocument/2006/relationships/calcChain" Target="calcChain.xml"/><Relationship Id="rId7" Type="http://schemas.openxmlformats.org/officeDocument/2006/relationships/worksheet" Target="worksheets/sheet2.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chartsheet" Target="chart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1.xml"/><Relationship Id="rId11" Type="http://schemas.openxmlformats.org/officeDocument/2006/relationships/externalLink" Target="externalLinks/externalLink3.xml"/><Relationship Id="rId5" Type="http://schemas.openxmlformats.org/officeDocument/2006/relationships/chartsheet" Target="chart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chartsheet" Target="chart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Load Served by Competitive Electric Providers 
Emera Maine - Maine Public District 
June 2000-April 2016
 Presented by the Maine PUC</a:t>
            </a:r>
          </a:p>
        </c:rich>
      </c:tx>
      <c:layout>
        <c:manualLayout>
          <c:xMode val="edge"/>
          <c:yMode val="edge"/>
          <c:x val="0.29744728079911209"/>
          <c:y val="2.610118088757727E-2"/>
        </c:manualLayout>
      </c:layout>
      <c:overlay val="0"/>
      <c:spPr>
        <a:noFill/>
        <a:ln w="25400">
          <a:noFill/>
        </a:ln>
      </c:spPr>
    </c:title>
    <c:autoTitleDeleted val="0"/>
    <c:plotArea>
      <c:layout>
        <c:manualLayout>
          <c:layoutTarget val="inner"/>
          <c:xMode val="edge"/>
          <c:yMode val="edge"/>
          <c:x val="8.7680355160932297E-2"/>
          <c:y val="0.21044045676998369"/>
          <c:w val="0.86298349372995053"/>
          <c:h val="0.63295269168026103"/>
        </c:manualLayout>
      </c:layout>
      <c:lineChart>
        <c:grouping val="standard"/>
        <c:varyColors val="0"/>
        <c:ser>
          <c:idx val="0"/>
          <c:order val="0"/>
          <c:tx>
            <c:v>Residential/Small commercial</c:v>
          </c:tx>
          <c:spPr>
            <a:ln w="12700">
              <a:solidFill>
                <a:schemeClr val="accent4">
                  <a:lumMod val="50000"/>
                </a:schemeClr>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Load!$Z$45:$Z$235</c:f>
              <c:numCache>
                <c:formatCode>0.0%</c:formatCode>
                <c:ptCount val="191"/>
                <c:pt idx="0">
                  <c:v>2.2052482444252799E-2</c:v>
                </c:pt>
                <c:pt idx="1">
                  <c:v>2.1260834135861915E-2</c:v>
                </c:pt>
                <c:pt idx="2">
                  <c:v>2.184231852738008E-2</c:v>
                </c:pt>
                <c:pt idx="3">
                  <c:v>2.005502171673048E-2</c:v>
                </c:pt>
                <c:pt idx="4">
                  <c:v>2.1537964197680531E-2</c:v>
                </c:pt>
                <c:pt idx="5">
                  <c:v>1.9984291823021208E-2</c:v>
                </c:pt>
                <c:pt idx="6">
                  <c:v>1.6843681280119777E-2</c:v>
                </c:pt>
                <c:pt idx="7">
                  <c:v>1.0740505755460891E-2</c:v>
                </c:pt>
                <c:pt idx="8">
                  <c:v>7.8764824345491178E-3</c:v>
                </c:pt>
                <c:pt idx="9">
                  <c:v>8.1708088128009341E-3</c:v>
                </c:pt>
                <c:pt idx="10">
                  <c:v>9.0738731630338309E-3</c:v>
                </c:pt>
                <c:pt idx="11">
                  <c:v>7.0012819248594822E-3</c:v>
                </c:pt>
                <c:pt idx="12">
                  <c:v>6.2324471973223567E-3</c:v>
                </c:pt>
                <c:pt idx="13">
                  <c:v>6.3879649228908379E-3</c:v>
                </c:pt>
                <c:pt idx="14">
                  <c:v>5.7319530327242406E-3</c:v>
                </c:pt>
                <c:pt idx="15">
                  <c:v>5.904710194108864E-3</c:v>
                </c:pt>
                <c:pt idx="16">
                  <c:v>7.6251110453064855E-3</c:v>
                </c:pt>
                <c:pt idx="17">
                  <c:v>9.5834062664099419E-3</c:v>
                </c:pt>
                <c:pt idx="18">
                  <c:v>1.0914051841746248E-2</c:v>
                </c:pt>
                <c:pt idx="19">
                  <c:v>1.15868305779285E-2</c:v>
                </c:pt>
                <c:pt idx="20">
                  <c:v>1.2026745397707537E-2</c:v>
                </c:pt>
                <c:pt idx="21">
                  <c:v>1.2795693847679304E-2</c:v>
                </c:pt>
                <c:pt idx="22">
                  <c:v>1.310148836761235E-2</c:v>
                </c:pt>
                <c:pt idx="23">
                  <c:v>1.1858063934352315E-2</c:v>
                </c:pt>
                <c:pt idx="24">
                  <c:v>9.8691088529251868E-3</c:v>
                </c:pt>
                <c:pt idx="25">
                  <c:v>9.2426952892069175E-3</c:v>
                </c:pt>
                <c:pt idx="26">
                  <c:v>1.0163880152292666E-2</c:v>
                </c:pt>
                <c:pt idx="27">
                  <c:v>8.3776677062312715E-3</c:v>
                </c:pt>
                <c:pt idx="28">
                  <c:v>7.6989847907310265E-3</c:v>
                </c:pt>
                <c:pt idx="29">
                  <c:v>7.7884147330845371E-3</c:v>
                </c:pt>
                <c:pt idx="30">
                  <c:v>8.7655222790357923E-3</c:v>
                </c:pt>
                <c:pt idx="31">
                  <c:v>9.8114291184071972E-3</c:v>
                </c:pt>
                <c:pt idx="32">
                  <c:v>8.7211929507455942E-3</c:v>
                </c:pt>
                <c:pt idx="33">
                  <c:v>8.8386151309763697E-3</c:v>
                </c:pt>
                <c:pt idx="34">
                  <c:v>9.2060424190020858E-3</c:v>
                </c:pt>
                <c:pt idx="35">
                  <c:v>8.8099630996309967E-3</c:v>
                </c:pt>
                <c:pt idx="36">
                  <c:v>8.8090047604217642E-3</c:v>
                </c:pt>
                <c:pt idx="37">
                  <c:v>9.0618336886993597E-3</c:v>
                </c:pt>
                <c:pt idx="38">
                  <c:v>7.1447560813505248E-3</c:v>
                </c:pt>
                <c:pt idx="39">
                  <c:v>4.3393896630799086E-3</c:v>
                </c:pt>
                <c:pt idx="40">
                  <c:v>3.9221777795037088E-3</c:v>
                </c:pt>
                <c:pt idx="41">
                  <c:v>3.6766296120074398E-3</c:v>
                </c:pt>
                <c:pt idx="42">
                  <c:v>3.7937654264558001E-3</c:v>
                </c:pt>
                <c:pt idx="43">
                  <c:v>3.7556922210224873E-3</c:v>
                </c:pt>
                <c:pt idx="44">
                  <c:v>4.3101571683573517E-3</c:v>
                </c:pt>
                <c:pt idx="45">
                  <c:v>4.3387050634118435E-3</c:v>
                </c:pt>
                <c:pt idx="46">
                  <c:v>4.2352488208682254E-3</c:v>
                </c:pt>
                <c:pt idx="47">
                  <c:v>4.0710221699038649E-3</c:v>
                </c:pt>
                <c:pt idx="48">
                  <c:v>3.5364161332199291E-3</c:v>
                </c:pt>
                <c:pt idx="49">
                  <c:v>2.9152190407731324E-3</c:v>
                </c:pt>
                <c:pt idx="50">
                  <c:v>2.4444274692536857E-3</c:v>
                </c:pt>
                <c:pt idx="51">
                  <c:v>2.5882596542085102E-3</c:v>
                </c:pt>
                <c:pt idx="52">
                  <c:v>3.1228730431997437E-3</c:v>
                </c:pt>
                <c:pt idx="53">
                  <c:v>4.4230348149770097E-3</c:v>
                </c:pt>
                <c:pt idx="54">
                  <c:v>5.0000000000000001E-3</c:v>
                </c:pt>
                <c:pt idx="55">
                  <c:v>3.9629510160822078E-3</c:v>
                </c:pt>
                <c:pt idx="56">
                  <c:v>5.878510777269759E-3</c:v>
                </c:pt>
                <c:pt idx="57">
                  <c:v>4.0731174249950325E-3</c:v>
                </c:pt>
                <c:pt idx="58">
                  <c:v>4.2963528737827005E-3</c:v>
                </c:pt>
                <c:pt idx="59">
                  <c:v>3.3925364198762716E-3</c:v>
                </c:pt>
                <c:pt idx="60">
                  <c:v>2.9255558556125663E-3</c:v>
                </c:pt>
                <c:pt idx="61">
                  <c:v>2.8382581648522553E-3</c:v>
                </c:pt>
                <c:pt idx="62">
                  <c:v>2.8023032629558541E-3</c:v>
                </c:pt>
                <c:pt idx="63">
                  <c:v>3.1717098067808969E-3</c:v>
                </c:pt>
                <c:pt idx="64">
                  <c:v>3.2413629535931691E-3</c:v>
                </c:pt>
                <c:pt idx="65">
                  <c:v>4.5647934763339828E-3</c:v>
                </c:pt>
                <c:pt idx="66">
                  <c:v>4.9230475097982989E-3</c:v>
                </c:pt>
                <c:pt idx="67">
                  <c:v>2.4398411711237626E-3</c:v>
                </c:pt>
                <c:pt idx="68">
                  <c:v>1.8169429934135816E-3</c:v>
                </c:pt>
                <c:pt idx="69">
                  <c:v>1.6331935555065108E-3</c:v>
                </c:pt>
                <c:pt idx="70">
                  <c:v>2.3534333978348413E-3</c:v>
                </c:pt>
                <c:pt idx="71">
                  <c:v>2.4178198466999327E-3</c:v>
                </c:pt>
                <c:pt idx="72">
                  <c:v>2.289812494599499E-3</c:v>
                </c:pt>
                <c:pt idx="73">
                  <c:v>1.957883745214062E-3</c:v>
                </c:pt>
                <c:pt idx="74">
                  <c:v>2.1339382983562986E-3</c:v>
                </c:pt>
                <c:pt idx="75">
                  <c:v>1.4471269236199351E-3</c:v>
                </c:pt>
                <c:pt idx="76">
                  <c:v>1.159180293935003E-3</c:v>
                </c:pt>
                <c:pt idx="77">
                  <c:v>1.9274281404508507E-3</c:v>
                </c:pt>
                <c:pt idx="78">
                  <c:v>2.7545721381801759E-3</c:v>
                </c:pt>
                <c:pt idx="79">
                  <c:v>8.8300220750551876E-4</c:v>
                </c:pt>
                <c:pt idx="80">
                  <c:v>5.7822965354406585E-4</c:v>
                </c:pt>
                <c:pt idx="81">
                  <c:v>5.5591587139812838E-4</c:v>
                </c:pt>
                <c:pt idx="82">
                  <c:v>6.3599745601017603E-4</c:v>
                </c:pt>
                <c:pt idx="83">
                  <c:v>5.4942310573897406E-4</c:v>
                </c:pt>
                <c:pt idx="84">
                  <c:v>8.0540516354199302E-4</c:v>
                </c:pt>
                <c:pt idx="85">
                  <c:v>4.3981298042634126E-3</c:v>
                </c:pt>
                <c:pt idx="86">
                  <c:v>2.9682741605951968E-3</c:v>
                </c:pt>
                <c:pt idx="87">
                  <c:v>3.0120481927710845E-3</c:v>
                </c:pt>
                <c:pt idx="88">
                  <c:v>4.9504950495049506E-3</c:v>
                </c:pt>
                <c:pt idx="89">
                  <c:v>4.7796535847401886E-3</c:v>
                </c:pt>
                <c:pt idx="90">
                  <c:v>3.8935124349053388E-3</c:v>
                </c:pt>
                <c:pt idx="91">
                  <c:v>4.3795620437956208E-3</c:v>
                </c:pt>
                <c:pt idx="92">
                  <c:v>2.7359781121751026E-3</c:v>
                </c:pt>
                <c:pt idx="93">
                  <c:v>3.0349013657056147E-3</c:v>
                </c:pt>
                <c:pt idx="94">
                  <c:v>4.3767932694645725E-3</c:v>
                </c:pt>
                <c:pt idx="95">
                  <c:v>4.6726950201185485E-3</c:v>
                </c:pt>
                <c:pt idx="96">
                  <c:v>4.5272969374167771E-3</c:v>
                </c:pt>
                <c:pt idx="97">
                  <c:v>5.4525627044711015E-3</c:v>
                </c:pt>
                <c:pt idx="98">
                  <c:v>3.3557046979865771E-3</c:v>
                </c:pt>
                <c:pt idx="99">
                  <c:v>3.4883720930232558E-3</c:v>
                </c:pt>
                <c:pt idx="100">
                  <c:v>4.2714342331234313E-3</c:v>
                </c:pt>
                <c:pt idx="101">
                  <c:v>4.6360228841980664E-3</c:v>
                </c:pt>
                <c:pt idx="102">
                  <c:v>4.9398110402378778E-3</c:v>
                </c:pt>
                <c:pt idx="103">
                  <c:v>3.9509720289139317E-3</c:v>
                </c:pt>
                <c:pt idx="104">
                  <c:v>3.8203919622922353E-3</c:v>
                </c:pt>
                <c:pt idx="105">
                  <c:v>5.7098616084389816E-3</c:v>
                </c:pt>
                <c:pt idx="106">
                  <c:v>6.0502119956171692E-3</c:v>
                </c:pt>
                <c:pt idx="107">
                  <c:v>7.8226857887874843E-3</c:v>
                </c:pt>
                <c:pt idx="108">
                  <c:v>8.0258744609487294E-3</c:v>
                </c:pt>
                <c:pt idx="109">
                  <c:v>1.0395010395010396E-2</c:v>
                </c:pt>
                <c:pt idx="110">
                  <c:v>1.4746678347203973E-2</c:v>
                </c:pt>
                <c:pt idx="111">
                  <c:v>1.4953420494982208E-2</c:v>
                </c:pt>
                <c:pt idx="112">
                  <c:v>1.573302605920936E-2</c:v>
                </c:pt>
                <c:pt idx="113">
                  <c:v>1.8080798568603444E-2</c:v>
                </c:pt>
                <c:pt idx="114">
                  <c:v>1.7050912584053796E-2</c:v>
                </c:pt>
                <c:pt idx="115">
                  <c:v>1.6342338938220291E-2</c:v>
                </c:pt>
                <c:pt idx="116">
                  <c:v>1.5813788201847902E-2</c:v>
                </c:pt>
                <c:pt idx="117">
                  <c:v>1.7408033033033034E-2</c:v>
                </c:pt>
                <c:pt idx="118">
                  <c:v>1.8538379040907001E-2</c:v>
                </c:pt>
                <c:pt idx="119">
                  <c:v>4.8665414354986676E-2</c:v>
                </c:pt>
                <c:pt idx="120">
                  <c:v>6.6742127177911628E-2</c:v>
                </c:pt>
                <c:pt idx="121">
                  <c:v>6.9439161489370696E-2</c:v>
                </c:pt>
                <c:pt idx="122">
                  <c:v>7.0130054218788762E-2</c:v>
                </c:pt>
                <c:pt idx="123">
                  <c:v>7.3338335768729515E-2</c:v>
                </c:pt>
                <c:pt idx="124" formatCode="0%">
                  <c:v>7.0000000000000007E-2</c:v>
                </c:pt>
                <c:pt idx="125" formatCode="0%">
                  <c:v>7.0000000000000007E-2</c:v>
                </c:pt>
                <c:pt idx="126" formatCode="0%">
                  <c:v>7.0000000000000007E-2</c:v>
                </c:pt>
                <c:pt idx="127" formatCode="0%">
                  <c:v>7.0000000000000007E-2</c:v>
                </c:pt>
                <c:pt idx="128" formatCode="0%">
                  <c:v>7.0000000000000007E-2</c:v>
                </c:pt>
                <c:pt idx="129" formatCode="0%">
                  <c:v>0.1</c:v>
                </c:pt>
                <c:pt idx="130" formatCode="0%">
                  <c:v>0.11</c:v>
                </c:pt>
                <c:pt idx="131" formatCode="0%">
                  <c:v>0.11</c:v>
                </c:pt>
                <c:pt idx="132" formatCode="0%">
                  <c:v>0.13</c:v>
                </c:pt>
                <c:pt idx="133" formatCode="0%">
                  <c:v>0.13</c:v>
                </c:pt>
                <c:pt idx="134" formatCode="0%">
                  <c:v>0.13</c:v>
                </c:pt>
                <c:pt idx="135" formatCode="0%">
                  <c:v>0.14000000000000001</c:v>
                </c:pt>
                <c:pt idx="136" formatCode="0%">
                  <c:v>0.14000000000000001</c:v>
                </c:pt>
                <c:pt idx="137" formatCode="0%">
                  <c:v>0.13</c:v>
                </c:pt>
                <c:pt idx="138" formatCode="0%">
                  <c:v>0.13</c:v>
                </c:pt>
                <c:pt idx="139" formatCode="0%">
                  <c:v>0.13</c:v>
                </c:pt>
                <c:pt idx="140" formatCode="0%">
                  <c:v>0.13</c:v>
                </c:pt>
                <c:pt idx="141" formatCode="0%">
                  <c:v>0.13</c:v>
                </c:pt>
                <c:pt idx="142" formatCode="0%">
                  <c:v>0.13</c:v>
                </c:pt>
                <c:pt idx="143" formatCode="0%">
                  <c:v>0.12</c:v>
                </c:pt>
                <c:pt idx="144" formatCode="0%">
                  <c:v>0.13</c:v>
                </c:pt>
                <c:pt idx="145" formatCode="0%">
                  <c:v>0.15</c:v>
                </c:pt>
                <c:pt idx="146" formatCode="0%">
                  <c:v>0.15</c:v>
                </c:pt>
                <c:pt idx="147" formatCode="0%">
                  <c:v>0.17</c:v>
                </c:pt>
                <c:pt idx="148" formatCode="0%">
                  <c:v>0.16</c:v>
                </c:pt>
                <c:pt idx="149" formatCode="0%">
                  <c:v>0.28000000000000003</c:v>
                </c:pt>
                <c:pt idx="150" formatCode="0%">
                  <c:v>0.27</c:v>
                </c:pt>
                <c:pt idx="151" formatCode="0%">
                  <c:v>0.28000000000000003</c:v>
                </c:pt>
                <c:pt idx="152" formatCode="0%">
                  <c:v>0.36</c:v>
                </c:pt>
                <c:pt idx="153" formatCode="0%">
                  <c:v>0.34</c:v>
                </c:pt>
                <c:pt idx="154" formatCode="0%">
                  <c:v>0.33</c:v>
                </c:pt>
                <c:pt idx="155" formatCode="0%">
                  <c:v>0.31</c:v>
                </c:pt>
                <c:pt idx="156" formatCode="0%">
                  <c:v>0.31</c:v>
                </c:pt>
                <c:pt idx="158" formatCode="0%">
                  <c:v>0.31</c:v>
                </c:pt>
                <c:pt idx="159" formatCode="0%">
                  <c:v>0.33</c:v>
                </c:pt>
                <c:pt idx="160" formatCode="0%">
                  <c:v>0.33</c:v>
                </c:pt>
                <c:pt idx="161" formatCode="0%">
                  <c:v>0.32</c:v>
                </c:pt>
                <c:pt idx="162" formatCode="0%">
                  <c:v>0.33</c:v>
                </c:pt>
                <c:pt idx="163" formatCode="0%">
                  <c:v>0.31</c:v>
                </c:pt>
                <c:pt idx="164" formatCode="0%">
                  <c:v>0.31</c:v>
                </c:pt>
                <c:pt idx="165" formatCode="0%">
                  <c:v>0.28999999999999998</c:v>
                </c:pt>
                <c:pt idx="166" formatCode="0%">
                  <c:v>0.2</c:v>
                </c:pt>
                <c:pt idx="167" formatCode="0%">
                  <c:v>0.14000000000000001</c:v>
                </c:pt>
                <c:pt idx="168" formatCode="0%">
                  <c:v>0.12</c:v>
                </c:pt>
                <c:pt idx="169" formatCode="0%">
                  <c:v>0.12</c:v>
                </c:pt>
                <c:pt idx="170" formatCode="0%">
                  <c:v>0.1</c:v>
                </c:pt>
                <c:pt idx="171" formatCode="0%">
                  <c:v>7.0000000000000007E-2</c:v>
                </c:pt>
                <c:pt idx="172" formatCode="0%">
                  <c:v>0.06</c:v>
                </c:pt>
                <c:pt idx="173" formatCode="0%">
                  <c:v>0.04</c:v>
                </c:pt>
                <c:pt idx="174" formatCode="0%">
                  <c:v>0.05</c:v>
                </c:pt>
                <c:pt idx="175" formatCode="0%">
                  <c:v>0.09</c:v>
                </c:pt>
                <c:pt idx="176" formatCode="0%">
                  <c:v>0.09</c:v>
                </c:pt>
                <c:pt idx="177" formatCode="0%">
                  <c:v>0.09</c:v>
                </c:pt>
                <c:pt idx="178" formatCode="0%">
                  <c:v>0.1</c:v>
                </c:pt>
                <c:pt idx="179" formatCode="0%">
                  <c:v>0.09</c:v>
                </c:pt>
                <c:pt idx="180" formatCode="0%">
                  <c:v>0.1</c:v>
                </c:pt>
                <c:pt idx="181" formatCode="0%">
                  <c:v>0.09</c:v>
                </c:pt>
                <c:pt idx="182" formatCode="0%">
                  <c:v>0.09</c:v>
                </c:pt>
                <c:pt idx="183" formatCode="0%">
                  <c:v>0.08</c:v>
                </c:pt>
                <c:pt idx="184" formatCode="0%">
                  <c:v>0.1</c:v>
                </c:pt>
                <c:pt idx="185" formatCode="0%">
                  <c:v>0.09</c:v>
                </c:pt>
                <c:pt idx="186" formatCode="0%">
                  <c:v>7.0000000000000007E-2</c:v>
                </c:pt>
                <c:pt idx="188" formatCode="0%">
                  <c:v>0.04</c:v>
                </c:pt>
              </c:numCache>
            </c:numRef>
          </c:val>
          <c:smooth val="0"/>
          <c:extLst>
            <c:ext xmlns:c16="http://schemas.microsoft.com/office/drawing/2014/chart" uri="{C3380CC4-5D6E-409C-BE32-E72D297353CC}">
              <c16:uniqueId val="{00000000-A154-BA41-B601-0F4A1142ABA3}"/>
            </c:ext>
          </c:extLst>
        </c:ser>
        <c:ser>
          <c:idx val="1"/>
          <c:order val="1"/>
          <c:tx>
            <c:v>Medium C&amp;I</c:v>
          </c:tx>
          <c:spPr>
            <a:ln w="12700">
              <a:solidFill>
                <a:srgbClr val="FF00FF"/>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Load!$AC$45:$AC$235</c:f>
              <c:numCache>
                <c:formatCode>0.0%</c:formatCode>
                <c:ptCount val="191"/>
                <c:pt idx="0">
                  <c:v>0.47494584837545128</c:v>
                </c:pt>
                <c:pt idx="1">
                  <c:v>0.46802854344480199</c:v>
                </c:pt>
                <c:pt idx="2">
                  <c:v>0.47762832830085095</c:v>
                </c:pt>
                <c:pt idx="3">
                  <c:v>0.43584070861054186</c:v>
                </c:pt>
                <c:pt idx="4">
                  <c:v>0.46238290398126469</c:v>
                </c:pt>
                <c:pt idx="5">
                  <c:v>0.37971487971487972</c:v>
                </c:pt>
                <c:pt idx="6">
                  <c:v>0.22841357537490137</c:v>
                </c:pt>
                <c:pt idx="7">
                  <c:v>0.17753897381565009</c:v>
                </c:pt>
                <c:pt idx="8">
                  <c:v>0.16930260581412865</c:v>
                </c:pt>
                <c:pt idx="9">
                  <c:v>0.15796000620058903</c:v>
                </c:pt>
                <c:pt idx="10">
                  <c:v>0.16414103525881471</c:v>
                </c:pt>
                <c:pt idx="11">
                  <c:v>0.15875587234731897</c:v>
                </c:pt>
                <c:pt idx="12">
                  <c:v>0.15939222404290182</c:v>
                </c:pt>
                <c:pt idx="13">
                  <c:v>0.15823037066560383</c:v>
                </c:pt>
                <c:pt idx="14">
                  <c:v>0.15329606033025611</c:v>
                </c:pt>
                <c:pt idx="15">
                  <c:v>0.14822629566134773</c:v>
                </c:pt>
                <c:pt idx="16">
                  <c:v>0.153042233357194</c:v>
                </c:pt>
                <c:pt idx="17">
                  <c:v>0.28613445378151259</c:v>
                </c:pt>
                <c:pt idx="18">
                  <c:v>0.50806451612903225</c:v>
                </c:pt>
                <c:pt idx="19">
                  <c:v>0.41537499999999999</c:v>
                </c:pt>
                <c:pt idx="20">
                  <c:v>0.47891604406736732</c:v>
                </c:pt>
                <c:pt idx="21">
                  <c:v>0.47804940483809039</c:v>
                </c:pt>
                <c:pt idx="22">
                  <c:v>0.47901028634973586</c:v>
                </c:pt>
                <c:pt idx="23">
                  <c:v>0.47043847241867048</c:v>
                </c:pt>
                <c:pt idx="24">
                  <c:v>0.33858531679517262</c:v>
                </c:pt>
                <c:pt idx="25">
                  <c:v>0.45777233782129745</c:v>
                </c:pt>
                <c:pt idx="26">
                  <c:v>0.53408353170309453</c:v>
                </c:pt>
                <c:pt idx="27">
                  <c:v>0.44954245043213015</c:v>
                </c:pt>
                <c:pt idx="28">
                  <c:v>0.44496244496244497</c:v>
                </c:pt>
                <c:pt idx="29">
                  <c:v>0.46357334842269066</c:v>
                </c:pt>
                <c:pt idx="30">
                  <c:v>0.46850935093509349</c:v>
                </c:pt>
                <c:pt idx="31">
                  <c:v>0.46601682467619177</c:v>
                </c:pt>
                <c:pt idx="32">
                  <c:v>0.45159485170677111</c:v>
                </c:pt>
                <c:pt idx="33">
                  <c:v>0.47474619289340103</c:v>
                </c:pt>
                <c:pt idx="34">
                  <c:v>0.45458490020248771</c:v>
                </c:pt>
                <c:pt idx="35">
                  <c:v>0.46675066498670026</c:v>
                </c:pt>
                <c:pt idx="36">
                  <c:v>0.45891702586206895</c:v>
                </c:pt>
                <c:pt idx="37">
                  <c:v>0.45699305653960604</c:v>
                </c:pt>
                <c:pt idx="38">
                  <c:v>0.44523715153917298</c:v>
                </c:pt>
                <c:pt idx="39">
                  <c:v>0.43995899013200046</c:v>
                </c:pt>
                <c:pt idx="40">
                  <c:v>0.4420955882352941</c:v>
                </c:pt>
                <c:pt idx="41">
                  <c:v>0.44750919424941488</c:v>
                </c:pt>
                <c:pt idx="42">
                  <c:v>0.44580534703015934</c:v>
                </c:pt>
                <c:pt idx="43">
                  <c:v>0.46120927664273881</c:v>
                </c:pt>
                <c:pt idx="44">
                  <c:v>0.45293818366827776</c:v>
                </c:pt>
                <c:pt idx="45">
                  <c:v>0.46180728906640045</c:v>
                </c:pt>
                <c:pt idx="46">
                  <c:v>0.45086218982195431</c:v>
                </c:pt>
                <c:pt idx="47">
                  <c:v>0.47542475728155337</c:v>
                </c:pt>
                <c:pt idx="48">
                  <c:v>0.44400000000000001</c:v>
                </c:pt>
                <c:pt idx="49">
                  <c:v>0.42579694615590674</c:v>
                </c:pt>
                <c:pt idx="50">
                  <c:v>0.42183786638500131</c:v>
                </c:pt>
                <c:pt idx="51">
                  <c:v>0.4167373137943563</c:v>
                </c:pt>
                <c:pt idx="52">
                  <c:v>0.4213023991563406</c:v>
                </c:pt>
                <c:pt idx="53">
                  <c:v>0.42617857625287048</c:v>
                </c:pt>
                <c:pt idx="54">
                  <c:v>0.43858450608006561</c:v>
                </c:pt>
                <c:pt idx="55">
                  <c:v>0.41597154072620213</c:v>
                </c:pt>
                <c:pt idx="56">
                  <c:v>0.413823758195355</c:v>
                </c:pt>
                <c:pt idx="57">
                  <c:v>0.37368150244404419</c:v>
                </c:pt>
                <c:pt idx="58">
                  <c:v>0.38187399893219437</c:v>
                </c:pt>
                <c:pt idx="59">
                  <c:v>0.37956975056090808</c:v>
                </c:pt>
                <c:pt idx="60">
                  <c:v>0.39021447721179625</c:v>
                </c:pt>
                <c:pt idx="61">
                  <c:v>0.39172625127681304</c:v>
                </c:pt>
                <c:pt idx="62">
                  <c:v>0.42661708062159642</c:v>
                </c:pt>
                <c:pt idx="63">
                  <c:v>0.39733671528218134</c:v>
                </c:pt>
                <c:pt idx="64">
                  <c:v>0.42740998838559818</c:v>
                </c:pt>
                <c:pt idx="65">
                  <c:v>0.42366554684583801</c:v>
                </c:pt>
                <c:pt idx="66">
                  <c:v>0.4032834635244274</c:v>
                </c:pt>
                <c:pt idx="67">
                  <c:v>0.37733617222616517</c:v>
                </c:pt>
                <c:pt idx="68">
                  <c:v>0.40774640026788705</c:v>
                </c:pt>
                <c:pt idx="69">
                  <c:v>0.41439177612792688</c:v>
                </c:pt>
                <c:pt idx="70">
                  <c:v>0.43045970288922686</c:v>
                </c:pt>
                <c:pt idx="71">
                  <c:v>0.41597106288258207</c:v>
                </c:pt>
                <c:pt idx="72">
                  <c:v>0.41975801090280551</c:v>
                </c:pt>
                <c:pt idx="73">
                  <c:v>0.41877900749732233</c:v>
                </c:pt>
                <c:pt idx="74">
                  <c:v>0.40902021772939345</c:v>
                </c:pt>
                <c:pt idx="75">
                  <c:v>0.40734804586364198</c:v>
                </c:pt>
                <c:pt idx="76">
                  <c:v>0.39931099279674281</c:v>
                </c:pt>
                <c:pt idx="77">
                  <c:v>0.40902021772939351</c:v>
                </c:pt>
                <c:pt idx="78">
                  <c:v>0.40022491565662877</c:v>
                </c:pt>
                <c:pt idx="79">
                  <c:v>0.40171358629130971</c:v>
                </c:pt>
                <c:pt idx="80">
                  <c:v>0.39287689414887733</c:v>
                </c:pt>
                <c:pt idx="81">
                  <c:v>0.41157670454545453</c:v>
                </c:pt>
                <c:pt idx="82">
                  <c:v>0.39791026429010445</c:v>
                </c:pt>
                <c:pt idx="83">
                  <c:v>0.39746213671715108</c:v>
                </c:pt>
                <c:pt idx="84">
                  <c:v>0.32758620689655171</c:v>
                </c:pt>
                <c:pt idx="85">
                  <c:v>0.23935985155978196</c:v>
                </c:pt>
                <c:pt idx="86">
                  <c:v>0.24529027297193387</c:v>
                </c:pt>
                <c:pt idx="87">
                  <c:v>0.24232081911262798</c:v>
                </c:pt>
                <c:pt idx="88">
                  <c:v>0.24210526315789474</c:v>
                </c:pt>
                <c:pt idx="89">
                  <c:v>0.24382249117498742</c:v>
                </c:pt>
                <c:pt idx="90">
                  <c:v>0.22403153571502279</c:v>
                </c:pt>
                <c:pt idx="91">
                  <c:v>0.2413793103448276</c:v>
                </c:pt>
                <c:pt idx="92">
                  <c:v>0.250814332247557</c:v>
                </c:pt>
                <c:pt idx="93">
                  <c:v>0.26353790613718414</c:v>
                </c:pt>
                <c:pt idx="94">
                  <c:v>0.24764810577167554</c:v>
                </c:pt>
                <c:pt idx="95">
                  <c:v>0.23614840126922138</c:v>
                </c:pt>
                <c:pt idx="96">
                  <c:v>0.23591549295774647</c:v>
                </c:pt>
                <c:pt idx="97">
                  <c:v>0.2734375</c:v>
                </c:pt>
                <c:pt idx="98">
                  <c:v>0.23768877216021012</c:v>
                </c:pt>
                <c:pt idx="99">
                  <c:v>0.24295774647887325</c:v>
                </c:pt>
                <c:pt idx="100">
                  <c:v>0.23217874453245066</c:v>
                </c:pt>
                <c:pt idx="101">
                  <c:v>0.2284988892415106</c:v>
                </c:pt>
                <c:pt idx="102">
                  <c:v>0.21733595648651774</c:v>
                </c:pt>
                <c:pt idx="103">
                  <c:v>0.22961643261370779</c:v>
                </c:pt>
                <c:pt idx="104">
                  <c:v>0.23710685163613254</c:v>
                </c:pt>
                <c:pt idx="105">
                  <c:v>0.25894481503941785</c:v>
                </c:pt>
                <c:pt idx="106">
                  <c:v>0.24348837209302324</c:v>
                </c:pt>
                <c:pt idx="107">
                  <c:v>0.23958333333333334</c:v>
                </c:pt>
                <c:pt idx="108">
                  <c:v>0.24441215914170766</c:v>
                </c:pt>
                <c:pt idx="109">
                  <c:v>0.30523656407900779</c:v>
                </c:pt>
                <c:pt idx="110">
                  <c:v>0.33104799216454456</c:v>
                </c:pt>
                <c:pt idx="111">
                  <c:v>0.3549047963364666</c:v>
                </c:pt>
                <c:pt idx="112">
                  <c:v>0.31557734204793025</c:v>
                </c:pt>
                <c:pt idx="113">
                  <c:v>0.31967735088091698</c:v>
                </c:pt>
                <c:pt idx="114">
                  <c:v>0.30677379756723583</c:v>
                </c:pt>
                <c:pt idx="115">
                  <c:v>0.32748600947051226</c:v>
                </c:pt>
                <c:pt idx="116">
                  <c:v>0.33033636555955154</c:v>
                </c:pt>
                <c:pt idx="117">
                  <c:v>0.3582443653618031</c:v>
                </c:pt>
                <c:pt idx="118">
                  <c:v>0.35787923416789397</c:v>
                </c:pt>
                <c:pt idx="119">
                  <c:v>0.34655588314124902</c:v>
                </c:pt>
                <c:pt idx="120">
                  <c:v>0.46220181431291291</c:v>
                </c:pt>
                <c:pt idx="121">
                  <c:v>0.46205814935456629</c:v>
                </c:pt>
                <c:pt idx="122">
                  <c:v>0.4594305287946906</c:v>
                </c:pt>
                <c:pt idx="123">
                  <c:v>0.46385474230292095</c:v>
                </c:pt>
                <c:pt idx="124" formatCode="0%">
                  <c:v>0.45</c:v>
                </c:pt>
                <c:pt idx="125" formatCode="0%">
                  <c:v>0.45</c:v>
                </c:pt>
                <c:pt idx="126" formatCode="0%">
                  <c:v>0.47</c:v>
                </c:pt>
                <c:pt idx="127" formatCode="0%">
                  <c:v>0.49</c:v>
                </c:pt>
                <c:pt idx="128" formatCode="0%">
                  <c:v>0.5</c:v>
                </c:pt>
                <c:pt idx="129" formatCode="0%">
                  <c:v>0.54</c:v>
                </c:pt>
                <c:pt idx="130" formatCode="0%">
                  <c:v>0.66</c:v>
                </c:pt>
                <c:pt idx="131" formatCode="0%">
                  <c:v>0.62</c:v>
                </c:pt>
                <c:pt idx="132" formatCode="0%">
                  <c:v>0.65</c:v>
                </c:pt>
                <c:pt idx="133" formatCode="0%">
                  <c:v>0.65</c:v>
                </c:pt>
                <c:pt idx="134" formatCode="0%">
                  <c:v>0.64</c:v>
                </c:pt>
                <c:pt idx="135" formatCode="0%">
                  <c:v>0.65</c:v>
                </c:pt>
                <c:pt idx="136" formatCode="0%">
                  <c:v>0.61</c:v>
                </c:pt>
                <c:pt idx="137" formatCode="0%">
                  <c:v>0.61</c:v>
                </c:pt>
                <c:pt idx="138" formatCode="0%">
                  <c:v>0.6</c:v>
                </c:pt>
                <c:pt idx="139" formatCode="0%">
                  <c:v>0.64</c:v>
                </c:pt>
                <c:pt idx="140" formatCode="0%">
                  <c:v>0.64</c:v>
                </c:pt>
                <c:pt idx="141" formatCode="0%">
                  <c:v>0.63</c:v>
                </c:pt>
                <c:pt idx="142" formatCode="0%">
                  <c:v>0.64</c:v>
                </c:pt>
                <c:pt idx="143" formatCode="0%">
                  <c:v>0.63</c:v>
                </c:pt>
                <c:pt idx="144" formatCode="0%">
                  <c:v>0.77</c:v>
                </c:pt>
                <c:pt idx="145" formatCode="0%">
                  <c:v>0.73</c:v>
                </c:pt>
                <c:pt idx="146" formatCode="0%">
                  <c:v>0.73</c:v>
                </c:pt>
                <c:pt idx="147" formatCode="0%">
                  <c:v>0.75</c:v>
                </c:pt>
                <c:pt idx="148" formatCode="0%">
                  <c:v>0.73</c:v>
                </c:pt>
                <c:pt idx="149" formatCode="0%">
                  <c:v>0.6</c:v>
                </c:pt>
                <c:pt idx="150" formatCode="0%">
                  <c:v>0.43</c:v>
                </c:pt>
                <c:pt idx="151" formatCode="0%">
                  <c:v>0.54</c:v>
                </c:pt>
                <c:pt idx="152" formatCode="0%">
                  <c:v>0.57999999999999996</c:v>
                </c:pt>
                <c:pt idx="153" formatCode="0%">
                  <c:v>0.68</c:v>
                </c:pt>
                <c:pt idx="154" formatCode="0%">
                  <c:v>0.67</c:v>
                </c:pt>
                <c:pt idx="155" formatCode="0%">
                  <c:v>0.65</c:v>
                </c:pt>
                <c:pt idx="156" formatCode="0%">
                  <c:v>0.63</c:v>
                </c:pt>
                <c:pt idx="158" formatCode="0%">
                  <c:v>0.63</c:v>
                </c:pt>
                <c:pt idx="159" formatCode="0%">
                  <c:v>0.65</c:v>
                </c:pt>
                <c:pt idx="160" formatCode="0%">
                  <c:v>0.65</c:v>
                </c:pt>
                <c:pt idx="161" formatCode="0%">
                  <c:v>0.64</c:v>
                </c:pt>
                <c:pt idx="162" formatCode="0%">
                  <c:v>0.59</c:v>
                </c:pt>
                <c:pt idx="163" formatCode="0%">
                  <c:v>0.65</c:v>
                </c:pt>
                <c:pt idx="164" formatCode="0%">
                  <c:v>0.69</c:v>
                </c:pt>
                <c:pt idx="165" formatCode="0%">
                  <c:v>0.65</c:v>
                </c:pt>
                <c:pt idx="166" formatCode="0%">
                  <c:v>0.65</c:v>
                </c:pt>
                <c:pt idx="167" formatCode="0%">
                  <c:v>0.65</c:v>
                </c:pt>
                <c:pt idx="168" formatCode="0%">
                  <c:v>0.65</c:v>
                </c:pt>
                <c:pt idx="169" formatCode="0%">
                  <c:v>0.63</c:v>
                </c:pt>
                <c:pt idx="170" formatCode="0%">
                  <c:v>0.56000000000000005</c:v>
                </c:pt>
                <c:pt idx="171" formatCode="0%">
                  <c:v>0.56000000000000005</c:v>
                </c:pt>
                <c:pt idx="172" formatCode="0%">
                  <c:v>0.4</c:v>
                </c:pt>
                <c:pt idx="173" formatCode="0%">
                  <c:v>0.37</c:v>
                </c:pt>
                <c:pt idx="174" formatCode="0%">
                  <c:v>0.28000000000000003</c:v>
                </c:pt>
                <c:pt idx="175" formatCode="0%">
                  <c:v>0.54</c:v>
                </c:pt>
                <c:pt idx="176" formatCode="0%">
                  <c:v>0.52</c:v>
                </c:pt>
                <c:pt idx="177" formatCode="0%">
                  <c:v>0.57999999999999996</c:v>
                </c:pt>
                <c:pt idx="178" formatCode="0%">
                  <c:v>0.63</c:v>
                </c:pt>
                <c:pt idx="179" formatCode="0%">
                  <c:v>0.63</c:v>
                </c:pt>
                <c:pt idx="180" formatCode="0%">
                  <c:v>0.63</c:v>
                </c:pt>
                <c:pt idx="181" formatCode="0%">
                  <c:v>0.64</c:v>
                </c:pt>
                <c:pt idx="182" formatCode="0%">
                  <c:v>0.65</c:v>
                </c:pt>
                <c:pt idx="183" formatCode="0%">
                  <c:v>0.64</c:v>
                </c:pt>
                <c:pt idx="184" formatCode="0%">
                  <c:v>0.64</c:v>
                </c:pt>
                <c:pt idx="185" formatCode="0%">
                  <c:v>0.76</c:v>
                </c:pt>
                <c:pt idx="186" formatCode="0%">
                  <c:v>0.67</c:v>
                </c:pt>
                <c:pt idx="188" formatCode="0%">
                  <c:v>0.43</c:v>
                </c:pt>
              </c:numCache>
            </c:numRef>
          </c:val>
          <c:smooth val="0"/>
          <c:extLst>
            <c:ext xmlns:c16="http://schemas.microsoft.com/office/drawing/2014/chart" uri="{C3380CC4-5D6E-409C-BE32-E72D297353CC}">
              <c16:uniqueId val="{00000001-A154-BA41-B601-0F4A1142ABA3}"/>
            </c:ext>
          </c:extLst>
        </c:ser>
        <c:ser>
          <c:idx val="2"/>
          <c:order val="2"/>
          <c:tx>
            <c:v>Large C&amp;I</c:v>
          </c:tx>
          <c:spPr>
            <a:ln w="12700">
              <a:solidFill>
                <a:schemeClr val="accent2">
                  <a:lumMod val="60000"/>
                  <a:lumOff val="40000"/>
                </a:schemeClr>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Load!$AF$45:$AF$235</c:f>
              <c:numCache>
                <c:formatCode>0.0%</c:formatCode>
                <c:ptCount val="191"/>
                <c:pt idx="0">
                  <c:v>0.96645754914261817</c:v>
                </c:pt>
                <c:pt idx="1">
                  <c:v>0.96464842235832227</c:v>
                </c:pt>
                <c:pt idx="2">
                  <c:v>0.96504899313324599</c:v>
                </c:pt>
                <c:pt idx="3">
                  <c:v>0.9662430656050216</c:v>
                </c:pt>
                <c:pt idx="4">
                  <c:v>0.91007054810450416</c:v>
                </c:pt>
                <c:pt idx="5">
                  <c:v>0.96760374832663987</c:v>
                </c:pt>
                <c:pt idx="6">
                  <c:v>0.9427477669076989</c:v>
                </c:pt>
                <c:pt idx="7">
                  <c:v>0.96444215408399891</c:v>
                </c:pt>
                <c:pt idx="8">
                  <c:v>0.93566095740008792</c:v>
                </c:pt>
                <c:pt idx="9">
                  <c:v>0.94061142666221187</c:v>
                </c:pt>
                <c:pt idx="10">
                  <c:v>0.9314716981132074</c:v>
                </c:pt>
                <c:pt idx="11">
                  <c:v>0.91800786838340487</c:v>
                </c:pt>
                <c:pt idx="12">
                  <c:v>0.92506395972600486</c:v>
                </c:pt>
                <c:pt idx="13">
                  <c:v>0.97340976036939741</c:v>
                </c:pt>
                <c:pt idx="14">
                  <c:v>0.9600250963520659</c:v>
                </c:pt>
                <c:pt idx="15">
                  <c:v>0.95663464035315493</c:v>
                </c:pt>
                <c:pt idx="16">
                  <c:v>0.95276887871853533</c:v>
                </c:pt>
                <c:pt idx="17">
                  <c:v>0.95328022912378063</c:v>
                </c:pt>
                <c:pt idx="18">
                  <c:v>0.94025974025974024</c:v>
                </c:pt>
                <c:pt idx="19">
                  <c:v>0.94783534421575577</c:v>
                </c:pt>
                <c:pt idx="20">
                  <c:v>0.95442775763852916</c:v>
                </c:pt>
                <c:pt idx="21">
                  <c:v>0.96763552068473613</c:v>
                </c:pt>
                <c:pt idx="22">
                  <c:v>0.9583895030106947</c:v>
                </c:pt>
                <c:pt idx="23">
                  <c:v>0.95633433283358327</c:v>
                </c:pt>
                <c:pt idx="24">
                  <c:v>0.955710102489019</c:v>
                </c:pt>
                <c:pt idx="25">
                  <c:v>0.95356223175965671</c:v>
                </c:pt>
                <c:pt idx="26">
                  <c:v>0.94695891450801783</c:v>
                </c:pt>
                <c:pt idx="27">
                  <c:v>0.94931119745672898</c:v>
                </c:pt>
                <c:pt idx="28">
                  <c:v>0.95235512159840885</c:v>
                </c:pt>
                <c:pt idx="29">
                  <c:v>0.95538399839582921</c:v>
                </c:pt>
                <c:pt idx="30">
                  <c:v>0.95184790334044067</c:v>
                </c:pt>
                <c:pt idx="31">
                  <c:v>0.94371685247321146</c:v>
                </c:pt>
                <c:pt idx="32">
                  <c:v>0.94655059440232137</c:v>
                </c:pt>
                <c:pt idx="33">
                  <c:v>0.95527129120879117</c:v>
                </c:pt>
                <c:pt idx="34">
                  <c:v>0.98147771219214308</c:v>
                </c:pt>
                <c:pt idx="35">
                  <c:v>0.94228837549082278</c:v>
                </c:pt>
                <c:pt idx="36">
                  <c:v>0.94773277950848045</c:v>
                </c:pt>
                <c:pt idx="37">
                  <c:v>0.91752117699509594</c:v>
                </c:pt>
                <c:pt idx="38">
                  <c:v>0.94703266963077526</c:v>
                </c:pt>
                <c:pt idx="39">
                  <c:v>0.94681997844053178</c:v>
                </c:pt>
                <c:pt idx="40">
                  <c:v>0.95249900833002765</c:v>
                </c:pt>
                <c:pt idx="41">
                  <c:v>0.95174092496560481</c:v>
                </c:pt>
                <c:pt idx="42">
                  <c:v>0.96063552288356657</c:v>
                </c:pt>
                <c:pt idx="43">
                  <c:v>0.95679076002887486</c:v>
                </c:pt>
                <c:pt idx="44">
                  <c:v>0.943630214205186</c:v>
                </c:pt>
                <c:pt idx="45">
                  <c:v>0.96768320436959476</c:v>
                </c:pt>
                <c:pt idx="46">
                  <c:v>0.95324454519693969</c:v>
                </c:pt>
                <c:pt idx="47">
                  <c:v>0.94058744993324428</c:v>
                </c:pt>
                <c:pt idx="48">
                  <c:v>0.95392165772971016</c:v>
                </c:pt>
                <c:pt idx="49">
                  <c:v>0.9545330792267902</c:v>
                </c:pt>
                <c:pt idx="50">
                  <c:v>0.7135362997658079</c:v>
                </c:pt>
                <c:pt idx="51">
                  <c:v>0.73164850866226117</c:v>
                </c:pt>
                <c:pt idx="52">
                  <c:v>0.71912882679268542</c:v>
                </c:pt>
                <c:pt idx="53">
                  <c:v>0.75013296457823631</c:v>
                </c:pt>
                <c:pt idx="54">
                  <c:v>0.7651961228372135</c:v>
                </c:pt>
                <c:pt idx="55">
                  <c:v>0.62588097102584173</c:v>
                </c:pt>
                <c:pt idx="56">
                  <c:v>0.66950610205586047</c:v>
                </c:pt>
                <c:pt idx="57">
                  <c:v>0.67463961558996255</c:v>
                </c:pt>
                <c:pt idx="58">
                  <c:v>0.69181633030920198</c:v>
                </c:pt>
                <c:pt idx="59">
                  <c:v>0.70024398745207395</c:v>
                </c:pt>
                <c:pt idx="60">
                  <c:v>0.65578692493946733</c:v>
                </c:pt>
                <c:pt idx="61">
                  <c:v>0.64440346375881974</c:v>
                </c:pt>
                <c:pt idx="62">
                  <c:v>0.61985070500414707</c:v>
                </c:pt>
                <c:pt idx="63">
                  <c:v>0.62041366906474826</c:v>
                </c:pt>
                <c:pt idx="64">
                  <c:v>0.6108649585821615</c:v>
                </c:pt>
                <c:pt idx="65">
                  <c:v>0.66864295125164697</c:v>
                </c:pt>
                <c:pt idx="66">
                  <c:v>0.65735567970204845</c:v>
                </c:pt>
                <c:pt idx="67">
                  <c:v>0.59965958971602618</c:v>
                </c:pt>
                <c:pt idx="68">
                  <c:v>0.61892476697736354</c:v>
                </c:pt>
                <c:pt idx="69">
                  <c:v>0.63497697620874904</c:v>
                </c:pt>
                <c:pt idx="70">
                  <c:v>0.61667897890503154</c:v>
                </c:pt>
                <c:pt idx="71">
                  <c:v>0.63459883331739508</c:v>
                </c:pt>
                <c:pt idx="72">
                  <c:v>0.6282290279627164</c:v>
                </c:pt>
                <c:pt idx="73">
                  <c:v>0.61628292198111645</c:v>
                </c:pt>
                <c:pt idx="74">
                  <c:v>0.59147193928500097</c:v>
                </c:pt>
                <c:pt idx="75">
                  <c:v>0.59895782125651365</c:v>
                </c:pt>
                <c:pt idx="76">
                  <c:v>0.57821919161972524</c:v>
                </c:pt>
                <c:pt idx="77">
                  <c:v>0.59147193928500097</c:v>
                </c:pt>
                <c:pt idx="78">
                  <c:v>0.54248822195079394</c:v>
                </c:pt>
                <c:pt idx="79">
                  <c:v>0.62197110904007458</c:v>
                </c:pt>
                <c:pt idx="80">
                  <c:v>0.65255091752369432</c:v>
                </c:pt>
                <c:pt idx="81">
                  <c:v>0.80564445737561818</c:v>
                </c:pt>
                <c:pt idx="82">
                  <c:v>0.74694969079057327</c:v>
                </c:pt>
                <c:pt idx="83">
                  <c:v>0.72258576244299022</c:v>
                </c:pt>
                <c:pt idx="84">
                  <c:v>0.71755110260799515</c:v>
                </c:pt>
                <c:pt idx="85">
                  <c:v>0.86647837943124262</c:v>
                </c:pt>
                <c:pt idx="86">
                  <c:v>0.89544848600266624</c:v>
                </c:pt>
                <c:pt idx="87">
                  <c:v>0.69428571428571428</c:v>
                </c:pt>
                <c:pt idx="88">
                  <c:v>0.71823204419889508</c:v>
                </c:pt>
                <c:pt idx="89">
                  <c:v>0.79642393367295972</c:v>
                </c:pt>
                <c:pt idx="90">
                  <c:v>0.68964698432800386</c:v>
                </c:pt>
                <c:pt idx="91">
                  <c:v>0.71393643031784837</c:v>
                </c:pt>
                <c:pt idx="92">
                  <c:v>0.71498771498771496</c:v>
                </c:pt>
                <c:pt idx="93">
                  <c:v>0.7117516629711752</c:v>
                </c:pt>
                <c:pt idx="94">
                  <c:v>0.69601342845153158</c:v>
                </c:pt>
                <c:pt idx="95">
                  <c:v>0.69269394928445882</c:v>
                </c:pt>
                <c:pt idx="96">
                  <c:v>0.69423558897243109</c:v>
                </c:pt>
                <c:pt idx="97">
                  <c:v>0.68809523809523809</c:v>
                </c:pt>
                <c:pt idx="98">
                  <c:v>0.71231146444758153</c:v>
                </c:pt>
                <c:pt idx="99">
                  <c:v>0.71912832929782078</c:v>
                </c:pt>
                <c:pt idx="100">
                  <c:v>0.71530758226037194</c:v>
                </c:pt>
                <c:pt idx="101">
                  <c:v>0.69004638335213742</c:v>
                </c:pt>
                <c:pt idx="102">
                  <c:v>0.69962146515252721</c:v>
                </c:pt>
                <c:pt idx="103">
                  <c:v>0.69776119402985071</c:v>
                </c:pt>
                <c:pt idx="104">
                  <c:v>0.69296728635250038</c:v>
                </c:pt>
                <c:pt idx="105">
                  <c:v>0.6841218587673733</c:v>
                </c:pt>
                <c:pt idx="106">
                  <c:v>0.71944193794683142</c:v>
                </c:pt>
                <c:pt idx="107">
                  <c:v>0.89570552147239269</c:v>
                </c:pt>
                <c:pt idx="108">
                  <c:v>0.8919904521946691</c:v>
                </c:pt>
                <c:pt idx="109">
                  <c:v>0.89830253868108767</c:v>
                </c:pt>
                <c:pt idx="110">
                  <c:v>0.88524018685072847</c:v>
                </c:pt>
                <c:pt idx="111">
                  <c:v>0.89130591370741208</c:v>
                </c:pt>
                <c:pt idx="112">
                  <c:v>0.88327566320645901</c:v>
                </c:pt>
                <c:pt idx="113">
                  <c:v>0.88824962772438065</c:v>
                </c:pt>
                <c:pt idx="114">
                  <c:v>0.88684405025868429</c:v>
                </c:pt>
                <c:pt idx="115">
                  <c:v>0.8459821428571429</c:v>
                </c:pt>
                <c:pt idx="116">
                  <c:v>0.90436962750716332</c:v>
                </c:pt>
                <c:pt idx="117">
                  <c:v>0.89564852971991338</c:v>
                </c:pt>
                <c:pt idx="118">
                  <c:v>0.89043341420234745</c:v>
                </c:pt>
                <c:pt idx="119">
                  <c:v>0.90657359822044947</c:v>
                </c:pt>
                <c:pt idx="120">
                  <c:v>0.90869703727301687</c:v>
                </c:pt>
                <c:pt idx="121">
                  <c:v>0.90216916581744067</c:v>
                </c:pt>
                <c:pt idx="122">
                  <c:v>0.89364773820981702</c:v>
                </c:pt>
                <c:pt idx="123">
                  <c:v>0.90250017410683203</c:v>
                </c:pt>
                <c:pt idx="124" formatCode="0%">
                  <c:v>0.87</c:v>
                </c:pt>
                <c:pt idx="125" formatCode="0%">
                  <c:v>0.89</c:v>
                </c:pt>
                <c:pt idx="126" formatCode="0%">
                  <c:v>0.89</c:v>
                </c:pt>
                <c:pt idx="127" formatCode="0%">
                  <c:v>0.9</c:v>
                </c:pt>
                <c:pt idx="128" formatCode="0%">
                  <c:v>0.87</c:v>
                </c:pt>
                <c:pt idx="129" formatCode="0%">
                  <c:v>0.88</c:v>
                </c:pt>
                <c:pt idx="130" formatCode="0%">
                  <c:v>0.89</c:v>
                </c:pt>
                <c:pt idx="131" formatCode="0%">
                  <c:v>0.93</c:v>
                </c:pt>
                <c:pt idx="132" formatCode="0%">
                  <c:v>0.92</c:v>
                </c:pt>
                <c:pt idx="133" formatCode="0%">
                  <c:v>0.93</c:v>
                </c:pt>
                <c:pt idx="134" formatCode="0%">
                  <c:v>0.93</c:v>
                </c:pt>
                <c:pt idx="135" formatCode="0%">
                  <c:v>0.91</c:v>
                </c:pt>
                <c:pt idx="136" formatCode="0%">
                  <c:v>0.91</c:v>
                </c:pt>
                <c:pt idx="137" formatCode="0%">
                  <c:v>0.89</c:v>
                </c:pt>
                <c:pt idx="138" formatCode="0%">
                  <c:v>0.91</c:v>
                </c:pt>
                <c:pt idx="139" formatCode="0%">
                  <c:v>0.93</c:v>
                </c:pt>
                <c:pt idx="140" formatCode="0%">
                  <c:v>0.93</c:v>
                </c:pt>
                <c:pt idx="141" formatCode="0%">
                  <c:v>0.93</c:v>
                </c:pt>
                <c:pt idx="142" formatCode="0%">
                  <c:v>0.93</c:v>
                </c:pt>
                <c:pt idx="143" formatCode="0%">
                  <c:v>0.93</c:v>
                </c:pt>
                <c:pt idx="144" formatCode="0%">
                  <c:v>0.99</c:v>
                </c:pt>
                <c:pt idx="145" formatCode="0%">
                  <c:v>0.98</c:v>
                </c:pt>
                <c:pt idx="146" formatCode="0%">
                  <c:v>0.98</c:v>
                </c:pt>
                <c:pt idx="147" formatCode="0%">
                  <c:v>0.99</c:v>
                </c:pt>
                <c:pt idx="148" formatCode="0%">
                  <c:v>0.98</c:v>
                </c:pt>
                <c:pt idx="149" formatCode="0%">
                  <c:v>0.98</c:v>
                </c:pt>
                <c:pt idx="150" formatCode="0%">
                  <c:v>1</c:v>
                </c:pt>
                <c:pt idx="151" formatCode="0%">
                  <c:v>1</c:v>
                </c:pt>
                <c:pt idx="152" formatCode="0%">
                  <c:v>1</c:v>
                </c:pt>
                <c:pt idx="153" formatCode="0%">
                  <c:v>1</c:v>
                </c:pt>
                <c:pt idx="154" formatCode="0%">
                  <c:v>1</c:v>
                </c:pt>
                <c:pt idx="155" formatCode="0%">
                  <c:v>0.99</c:v>
                </c:pt>
                <c:pt idx="156" formatCode="0%">
                  <c:v>1</c:v>
                </c:pt>
                <c:pt idx="158" formatCode="0%">
                  <c:v>1</c:v>
                </c:pt>
                <c:pt idx="159" formatCode="0%">
                  <c:v>1</c:v>
                </c:pt>
                <c:pt idx="160" formatCode="0%">
                  <c:v>0.99</c:v>
                </c:pt>
                <c:pt idx="161" formatCode="0%">
                  <c:v>0.98</c:v>
                </c:pt>
                <c:pt idx="162" formatCode="0%">
                  <c:v>1</c:v>
                </c:pt>
                <c:pt idx="163" formatCode="0%">
                  <c:v>0.99</c:v>
                </c:pt>
                <c:pt idx="164" formatCode="0%">
                  <c:v>0.99</c:v>
                </c:pt>
                <c:pt idx="165" formatCode="0%">
                  <c:v>1</c:v>
                </c:pt>
                <c:pt idx="166" formatCode="0%">
                  <c:v>0.99</c:v>
                </c:pt>
                <c:pt idx="167" formatCode="0%">
                  <c:v>1</c:v>
                </c:pt>
                <c:pt idx="168" formatCode="0%">
                  <c:v>0.99</c:v>
                </c:pt>
                <c:pt idx="169" formatCode="0%">
                  <c:v>0.97</c:v>
                </c:pt>
                <c:pt idx="170" formatCode="0%">
                  <c:v>0.88</c:v>
                </c:pt>
                <c:pt idx="171" formatCode="0%">
                  <c:v>0.89</c:v>
                </c:pt>
                <c:pt idx="172" formatCode="0%">
                  <c:v>0.86</c:v>
                </c:pt>
                <c:pt idx="173" formatCode="0%">
                  <c:v>0.88</c:v>
                </c:pt>
                <c:pt idx="174" formatCode="0%">
                  <c:v>0.7</c:v>
                </c:pt>
                <c:pt idx="175" formatCode="0%">
                  <c:v>0.84</c:v>
                </c:pt>
                <c:pt idx="176" formatCode="0%">
                  <c:v>0.82</c:v>
                </c:pt>
                <c:pt idx="177" formatCode="0%">
                  <c:v>0.75</c:v>
                </c:pt>
                <c:pt idx="178" formatCode="0%">
                  <c:v>0.56000000000000005</c:v>
                </c:pt>
                <c:pt idx="179" formatCode="0%">
                  <c:v>0.53</c:v>
                </c:pt>
                <c:pt idx="180" formatCode="0%">
                  <c:v>0.75</c:v>
                </c:pt>
                <c:pt idx="181" formatCode="0%">
                  <c:v>0.68</c:v>
                </c:pt>
                <c:pt idx="182" formatCode="0%">
                  <c:v>0.74</c:v>
                </c:pt>
                <c:pt idx="183" formatCode="0%">
                  <c:v>0.73</c:v>
                </c:pt>
                <c:pt idx="184" formatCode="0%">
                  <c:v>0.68</c:v>
                </c:pt>
                <c:pt idx="185" formatCode="0%">
                  <c:v>0.52</c:v>
                </c:pt>
                <c:pt idx="186" formatCode="0%">
                  <c:v>0.52</c:v>
                </c:pt>
                <c:pt idx="188" formatCode="0%">
                  <c:v>0.65</c:v>
                </c:pt>
              </c:numCache>
            </c:numRef>
          </c:val>
          <c:smooth val="0"/>
          <c:extLst>
            <c:ext xmlns:c16="http://schemas.microsoft.com/office/drawing/2014/chart" uri="{C3380CC4-5D6E-409C-BE32-E72D297353CC}">
              <c16:uniqueId val="{00000002-A154-BA41-B601-0F4A1142ABA3}"/>
            </c:ext>
          </c:extLst>
        </c:ser>
        <c:dLbls>
          <c:showLegendKey val="0"/>
          <c:showVal val="0"/>
          <c:showCatName val="0"/>
          <c:showSerName val="0"/>
          <c:showPercent val="0"/>
          <c:showBubbleSize val="0"/>
        </c:dLbls>
        <c:smooth val="0"/>
        <c:axId val="378913696"/>
        <c:axId val="1"/>
      </c:lineChart>
      <c:dateAx>
        <c:axId val="378913696"/>
        <c:scaling>
          <c:orientation val="minMax"/>
        </c:scaling>
        <c:delete val="0"/>
        <c:axPos val="b"/>
        <c:numFmt formatCode="[$-409]mmm\-yy;@" sourceLinked="0"/>
        <c:majorTickMark val="out"/>
        <c:minorTickMark val="none"/>
        <c:tickLblPos val="nextTo"/>
        <c:spPr>
          <a:ln w="3175">
            <a:solidFill>
              <a:srgbClr val="000000"/>
            </a:solidFill>
            <a:prstDash val="solid"/>
          </a:ln>
        </c:spPr>
        <c:txPr>
          <a:bodyPr rot="-42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6"/>
        <c:majorTimeUnit val="months"/>
        <c:minorUnit val="3"/>
        <c:minorTimeUnit val="months"/>
      </c:dateAx>
      <c:valAx>
        <c:axId val="1"/>
        <c:scaling>
          <c:orientation val="minMax"/>
          <c:max val="1"/>
        </c:scaling>
        <c:delete val="0"/>
        <c:axPos val="l"/>
        <c:majorGridlines>
          <c:spPr>
            <a:ln w="3175">
              <a:solidFill>
                <a:schemeClr val="bg1">
                  <a:lumMod val="6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Load (%)</a:t>
                </a:r>
              </a:p>
            </c:rich>
          </c:tx>
          <c:layout>
            <c:manualLayout>
              <c:xMode val="edge"/>
              <c:yMode val="edge"/>
              <c:x val="1.2208657047724751E-2"/>
              <c:y val="0.4796084041049696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78913696"/>
        <c:crosses val="autoZero"/>
        <c:crossBetween val="between"/>
      </c:valAx>
      <c:spPr>
        <a:solidFill>
          <a:schemeClr val="bg1"/>
        </a:solidFill>
        <a:ln w="12700">
          <a:solidFill>
            <a:schemeClr val="tx1"/>
          </a:solidFill>
          <a:prstDash val="solid"/>
        </a:ln>
      </c:spPr>
    </c:plotArea>
    <c:legend>
      <c:legendPos val="r"/>
      <c:layout>
        <c:manualLayout>
          <c:xMode val="edge"/>
          <c:yMode val="edge"/>
          <c:x val="0.33629629629629632"/>
          <c:y val="0.9606986899563319"/>
          <c:w val="0.33333333333333331"/>
          <c:h val="2.6200873362445413E-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Load served by Competitive Electric Providers 
Emera Maine - Bangor Hydro District
 July 2000-April 2016
Presented by the Maine PUC</a:t>
            </a:r>
          </a:p>
        </c:rich>
      </c:tx>
      <c:layout>
        <c:manualLayout>
          <c:xMode val="edge"/>
          <c:yMode val="edge"/>
          <c:x val="0.30077691453940064"/>
          <c:y val="1.9575842708695782E-2"/>
        </c:manualLayout>
      </c:layout>
      <c:overlay val="0"/>
      <c:spPr>
        <a:noFill/>
        <a:ln w="25400">
          <a:noFill/>
        </a:ln>
      </c:spPr>
    </c:title>
    <c:autoTitleDeleted val="0"/>
    <c:plotArea>
      <c:layout>
        <c:manualLayout>
          <c:layoutTarget val="inner"/>
          <c:xMode val="edge"/>
          <c:yMode val="edge"/>
          <c:x val="9.9889012208657049E-2"/>
          <c:y val="0.21207177814029363"/>
          <c:w val="0.84892178477690283"/>
          <c:h val="0.63458401305057099"/>
        </c:manualLayout>
      </c:layout>
      <c:lineChart>
        <c:grouping val="standard"/>
        <c:varyColors val="0"/>
        <c:ser>
          <c:idx val="0"/>
          <c:order val="0"/>
          <c:tx>
            <c:v>Residential/Small commercial</c:v>
          </c:tx>
          <c:spPr>
            <a:ln w="12700">
              <a:solidFill>
                <a:schemeClr val="accent4">
                  <a:lumMod val="50000"/>
                </a:schemeClr>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Load!$B$45:$B$235</c:f>
              <c:numCache>
                <c:formatCode>0.0%</c:formatCode>
                <c:ptCount val="191"/>
                <c:pt idx="0">
                  <c:v>0.10298955800314691</c:v>
                </c:pt>
                <c:pt idx="1">
                  <c:v>0.10172047432997462</c:v>
                </c:pt>
                <c:pt idx="2">
                  <c:v>0.10053363199156728</c:v>
                </c:pt>
                <c:pt idx="3">
                  <c:v>0.10413244028813345</c:v>
                </c:pt>
                <c:pt idx="4">
                  <c:v>0.10344412331406551</c:v>
                </c:pt>
                <c:pt idx="5">
                  <c:v>0.10689397710303633</c:v>
                </c:pt>
                <c:pt idx="6">
                  <c:v>0.10795838400216187</c:v>
                </c:pt>
                <c:pt idx="7">
                  <c:v>0.11109767891682784</c:v>
                </c:pt>
                <c:pt idx="8">
                  <c:v>0.11148628278564969</c:v>
                </c:pt>
                <c:pt idx="9">
                  <c:v>0.11192986913988059</c:v>
                </c:pt>
                <c:pt idx="10">
                  <c:v>0.11152998079522015</c:v>
                </c:pt>
                <c:pt idx="11">
                  <c:v>0.10776699029126213</c:v>
                </c:pt>
                <c:pt idx="12">
                  <c:v>0.10447348406278088</c:v>
                </c:pt>
                <c:pt idx="13">
                  <c:v>0.10269805174850961</c:v>
                </c:pt>
                <c:pt idx="14">
                  <c:v>0.10442604069544233</c:v>
                </c:pt>
                <c:pt idx="15">
                  <c:v>0.11039310716208939</c:v>
                </c:pt>
                <c:pt idx="16">
                  <c:v>0.11407274895646988</c:v>
                </c:pt>
                <c:pt idx="17">
                  <c:v>0.13327674023769098</c:v>
                </c:pt>
                <c:pt idx="18">
                  <c:v>0.13827277017461068</c:v>
                </c:pt>
                <c:pt idx="19">
                  <c:v>0.14301897479467571</c:v>
                </c:pt>
                <c:pt idx="20">
                  <c:v>0.14796668299853016</c:v>
                </c:pt>
                <c:pt idx="21">
                  <c:v>0.15267953864780476</c:v>
                </c:pt>
                <c:pt idx="22">
                  <c:v>0.1555422726970844</c:v>
                </c:pt>
                <c:pt idx="23">
                  <c:v>0.15212909646690836</c:v>
                </c:pt>
                <c:pt idx="24">
                  <c:v>0.14846775837466875</c:v>
                </c:pt>
                <c:pt idx="25">
                  <c:v>0.14414252294403457</c:v>
                </c:pt>
                <c:pt idx="26">
                  <c:v>0.14351581650519435</c:v>
                </c:pt>
                <c:pt idx="27">
                  <c:v>0.14622057001239158</c:v>
                </c:pt>
                <c:pt idx="28">
                  <c:v>0.16790983829694561</c:v>
                </c:pt>
                <c:pt idx="29">
                  <c:v>0.18031094376290541</c:v>
                </c:pt>
                <c:pt idx="30">
                  <c:v>0.17975840679072805</c:v>
                </c:pt>
                <c:pt idx="31">
                  <c:v>0.1798678695744832</c:v>
                </c:pt>
                <c:pt idx="32">
                  <c:v>0.17682581619173429</c:v>
                </c:pt>
                <c:pt idx="33">
                  <c:v>0.17947600970813368</c:v>
                </c:pt>
                <c:pt idx="34">
                  <c:v>0.18367215230719589</c:v>
                </c:pt>
                <c:pt idx="35">
                  <c:v>0.18232403526521174</c:v>
                </c:pt>
                <c:pt idx="36">
                  <c:v>0.18038639227215456</c:v>
                </c:pt>
                <c:pt idx="37">
                  <c:v>0.17662237130692815</c:v>
                </c:pt>
                <c:pt idx="38">
                  <c:v>0.15643552236979008</c:v>
                </c:pt>
                <c:pt idx="39">
                  <c:v>0.1519489099317331</c:v>
                </c:pt>
                <c:pt idx="40">
                  <c:v>0.14118936694984927</c:v>
                </c:pt>
                <c:pt idx="41">
                  <c:v>0.12606733349597463</c:v>
                </c:pt>
                <c:pt idx="42">
                  <c:v>0.10998182674833411</c:v>
                </c:pt>
                <c:pt idx="43">
                  <c:v>0.10697452011749436</c:v>
                </c:pt>
                <c:pt idx="44">
                  <c:v>0.10165499287175354</c:v>
                </c:pt>
                <c:pt idx="45">
                  <c:v>0.1013338161627135</c:v>
                </c:pt>
                <c:pt idx="46">
                  <c:v>9.5520812718517062E-2</c:v>
                </c:pt>
                <c:pt idx="47">
                  <c:v>8.9098103424750996E-2</c:v>
                </c:pt>
                <c:pt idx="48">
                  <c:v>8.0094144497539405E-2</c:v>
                </c:pt>
                <c:pt idx="49">
                  <c:v>6.8501170960187346E-2</c:v>
                </c:pt>
                <c:pt idx="50">
                  <c:v>6.4095432350577908E-2</c:v>
                </c:pt>
                <c:pt idx="51">
                  <c:v>6.1924686192468617E-2</c:v>
                </c:pt>
                <c:pt idx="52">
                  <c:v>5.7377973171006652E-2</c:v>
                </c:pt>
                <c:pt idx="53">
                  <c:v>5.7979637709903484E-2</c:v>
                </c:pt>
                <c:pt idx="54">
                  <c:v>5.678295851744377E-2</c:v>
                </c:pt>
                <c:pt idx="55">
                  <c:v>5.6620150898043668E-2</c:v>
                </c:pt>
                <c:pt idx="56">
                  <c:v>5.5910543130990413E-2</c:v>
                </c:pt>
                <c:pt idx="57">
                  <c:v>5.7957510249720456E-2</c:v>
                </c:pt>
                <c:pt idx="58">
                  <c:v>6.0055581915542604E-2</c:v>
                </c:pt>
                <c:pt idx="59">
                  <c:v>5.5296057150707512E-2</c:v>
                </c:pt>
                <c:pt idx="60">
                  <c:v>5.419863447596255E-2</c:v>
                </c:pt>
                <c:pt idx="61">
                  <c:v>5.2330284363138573E-2</c:v>
                </c:pt>
                <c:pt idx="62">
                  <c:v>5.1679737797026809E-2</c:v>
                </c:pt>
                <c:pt idx="63">
                  <c:v>5.1928701506539367E-2</c:v>
                </c:pt>
                <c:pt idx="64">
                  <c:v>4.8620088808948345E-2</c:v>
                </c:pt>
                <c:pt idx="65">
                  <c:v>5.0263729444616809E-2</c:v>
                </c:pt>
                <c:pt idx="66">
                  <c:v>5.1619299405155319E-2</c:v>
                </c:pt>
                <c:pt idx="67">
                  <c:v>5.1925515584328903E-2</c:v>
                </c:pt>
                <c:pt idx="68">
                  <c:v>4.8080903660772369E-2</c:v>
                </c:pt>
                <c:pt idx="69">
                  <c:v>4.6245226983453541E-2</c:v>
                </c:pt>
                <c:pt idx="70">
                  <c:v>4.5989304812834225E-2</c:v>
                </c:pt>
                <c:pt idx="71">
                  <c:v>3.8771990341497073E-2</c:v>
                </c:pt>
                <c:pt idx="72">
                  <c:v>3.3628444952163362E-2</c:v>
                </c:pt>
                <c:pt idx="73">
                  <c:v>3.0990315526397999E-2</c:v>
                </c:pt>
                <c:pt idx="74">
                  <c:v>2.6904106079046825E-2</c:v>
                </c:pt>
                <c:pt idx="75">
                  <c:v>2.7011225444340505E-2</c:v>
                </c:pt>
                <c:pt idx="76">
                  <c:v>2.1951080449284451E-2</c:v>
                </c:pt>
                <c:pt idx="77">
                  <c:v>1.5446783549501401E-2</c:v>
                </c:pt>
                <c:pt idx="78">
                  <c:v>1.430172016081197E-2</c:v>
                </c:pt>
                <c:pt idx="79">
                  <c:v>1.4171413072959048E-2</c:v>
                </c:pt>
                <c:pt idx="80">
                  <c:v>1.4005069708491762E-2</c:v>
                </c:pt>
                <c:pt idx="81">
                  <c:v>1.3955174288648583E-2</c:v>
                </c:pt>
                <c:pt idx="82">
                  <c:v>1.3649189579368726E-2</c:v>
                </c:pt>
                <c:pt idx="83">
                  <c:v>8.9197224975222991E-3</c:v>
                </c:pt>
                <c:pt idx="84">
                  <c:v>8.531468531468531E-3</c:v>
                </c:pt>
                <c:pt idx="85">
                  <c:v>8.0213903743315516E-3</c:v>
                </c:pt>
                <c:pt idx="86">
                  <c:v>7.5535039865715489E-3</c:v>
                </c:pt>
                <c:pt idx="87">
                  <c:v>7.2713356295445852E-3</c:v>
                </c:pt>
                <c:pt idx="88">
                  <c:v>6.8434559452523521E-3</c:v>
                </c:pt>
                <c:pt idx="89">
                  <c:v>5.7167985927880386E-3</c:v>
                </c:pt>
                <c:pt idx="90">
                  <c:v>5.8596442851233969E-3</c:v>
                </c:pt>
                <c:pt idx="91">
                  <c:v>5.5045871559633031E-3</c:v>
                </c:pt>
                <c:pt idx="92">
                  <c:v>5.5389859394972306E-3</c:v>
                </c:pt>
                <c:pt idx="93">
                  <c:v>5.0505050505050509E-3</c:v>
                </c:pt>
                <c:pt idx="94">
                  <c:v>5.1229508196721308E-3</c:v>
                </c:pt>
                <c:pt idx="95">
                  <c:v>4.8169556840077067E-3</c:v>
                </c:pt>
                <c:pt idx="96">
                  <c:v>5.691768826619965E-3</c:v>
                </c:pt>
                <c:pt idx="97">
                  <c:v>6.3748406289842758E-3</c:v>
                </c:pt>
                <c:pt idx="98">
                  <c:v>6.8300522298111689E-3</c:v>
                </c:pt>
                <c:pt idx="99">
                  <c:v>7.2318200080353553E-3</c:v>
                </c:pt>
                <c:pt idx="100">
                  <c:v>7.2711719418306247E-3</c:v>
                </c:pt>
                <c:pt idx="101">
                  <c:v>5.9171597633136093E-3</c:v>
                </c:pt>
                <c:pt idx="102">
                  <c:v>6.1061531235321745E-3</c:v>
                </c:pt>
                <c:pt idx="103">
                  <c:v>6.6362505184570713E-3</c:v>
                </c:pt>
                <c:pt idx="104">
                  <c:v>6.4589665653495441E-3</c:v>
                </c:pt>
                <c:pt idx="105">
                  <c:v>6.6183725722850188E-3</c:v>
                </c:pt>
                <c:pt idx="106">
                  <c:v>6.2984496124031007E-3</c:v>
                </c:pt>
                <c:pt idx="107">
                  <c:v>6.3789868667917448E-3</c:v>
                </c:pt>
                <c:pt idx="108">
                  <c:v>6.2953414473289762E-3</c:v>
                </c:pt>
                <c:pt idx="109">
                  <c:v>6.7681895093062603E-3</c:v>
                </c:pt>
                <c:pt idx="110">
                  <c:v>7.7651313690032973E-3</c:v>
                </c:pt>
                <c:pt idx="111">
                  <c:v>7.7073648152679222E-3</c:v>
                </c:pt>
                <c:pt idx="112">
                  <c:v>8.0425558862643274E-3</c:v>
                </c:pt>
                <c:pt idx="113">
                  <c:v>7.9084967320261438E-3</c:v>
                </c:pt>
                <c:pt idx="114">
                  <c:v>8.1135902636916835E-3</c:v>
                </c:pt>
                <c:pt idx="115">
                  <c:v>9.7439688192997795E-3</c:v>
                </c:pt>
                <c:pt idx="116">
                  <c:v>7.5166723182999882E-3</c:v>
                </c:pt>
                <c:pt idx="117">
                  <c:v>7.8251148925599298E-3</c:v>
                </c:pt>
                <c:pt idx="118">
                  <c:v>7.7839774058000967E-3</c:v>
                </c:pt>
                <c:pt idx="119">
                  <c:v>8.5145309971149108E-3</c:v>
                </c:pt>
                <c:pt idx="120">
                  <c:v>9.3766166580444895E-3</c:v>
                </c:pt>
                <c:pt idx="121">
                  <c:v>8.2630691399662726E-3</c:v>
                </c:pt>
                <c:pt idx="122">
                  <c:v>8.5120495246517811E-3</c:v>
                </c:pt>
                <c:pt idx="123">
                  <c:v>0</c:v>
                </c:pt>
                <c:pt idx="124" formatCode="0%">
                  <c:v>0</c:v>
                </c:pt>
                <c:pt idx="125" formatCode="0%">
                  <c:v>0</c:v>
                </c:pt>
                <c:pt idx="126" formatCode="0%">
                  <c:v>0</c:v>
                </c:pt>
                <c:pt idx="127" formatCode="0%">
                  <c:v>0</c:v>
                </c:pt>
                <c:pt idx="128" formatCode="0%">
                  <c:v>0</c:v>
                </c:pt>
                <c:pt idx="129" formatCode="0%">
                  <c:v>0</c:v>
                </c:pt>
                <c:pt idx="130" formatCode="0%">
                  <c:v>0</c:v>
                </c:pt>
                <c:pt idx="131" formatCode="0%">
                  <c:v>0</c:v>
                </c:pt>
                <c:pt idx="132" formatCode="0%">
                  <c:v>0</c:v>
                </c:pt>
                <c:pt idx="133" formatCode="0%">
                  <c:v>0</c:v>
                </c:pt>
                <c:pt idx="134" formatCode="0%">
                  <c:v>0.01</c:v>
                </c:pt>
                <c:pt idx="135" formatCode="0%">
                  <c:v>0.01</c:v>
                </c:pt>
                <c:pt idx="136" formatCode="0%">
                  <c:v>0.01</c:v>
                </c:pt>
                <c:pt idx="137" formatCode="0%">
                  <c:v>0.01</c:v>
                </c:pt>
                <c:pt idx="138" formatCode="0%">
                  <c:v>0.01</c:v>
                </c:pt>
                <c:pt idx="139" formatCode="0%">
                  <c:v>0.01</c:v>
                </c:pt>
                <c:pt idx="140" formatCode="0%">
                  <c:v>0</c:v>
                </c:pt>
                <c:pt idx="141" formatCode="0%">
                  <c:v>0</c:v>
                </c:pt>
                <c:pt idx="142" formatCode="0%">
                  <c:v>0</c:v>
                </c:pt>
                <c:pt idx="143" formatCode="0%">
                  <c:v>0</c:v>
                </c:pt>
                <c:pt idx="144" formatCode="0%">
                  <c:v>0</c:v>
                </c:pt>
                <c:pt idx="145" formatCode="0%">
                  <c:v>0</c:v>
                </c:pt>
                <c:pt idx="146" formatCode="0%">
                  <c:v>0</c:v>
                </c:pt>
                <c:pt idx="147" formatCode="0%">
                  <c:v>0</c:v>
                </c:pt>
                <c:pt idx="148" formatCode="0%">
                  <c:v>0</c:v>
                </c:pt>
                <c:pt idx="149" formatCode="0%">
                  <c:v>0</c:v>
                </c:pt>
                <c:pt idx="150" formatCode="0%">
                  <c:v>0</c:v>
                </c:pt>
                <c:pt idx="151" formatCode="0%">
                  <c:v>0</c:v>
                </c:pt>
                <c:pt idx="152" formatCode="0%">
                  <c:v>0</c:v>
                </c:pt>
                <c:pt idx="153" formatCode="0%">
                  <c:v>0</c:v>
                </c:pt>
                <c:pt idx="154" formatCode="0%">
                  <c:v>0</c:v>
                </c:pt>
                <c:pt idx="155" formatCode="0%">
                  <c:v>0</c:v>
                </c:pt>
                <c:pt idx="156" formatCode="0%">
                  <c:v>0</c:v>
                </c:pt>
                <c:pt idx="158" formatCode="0%">
                  <c:v>0</c:v>
                </c:pt>
                <c:pt idx="159" formatCode="0%">
                  <c:v>0</c:v>
                </c:pt>
                <c:pt idx="160" formatCode="0%">
                  <c:v>0</c:v>
                </c:pt>
                <c:pt idx="161" formatCode="0%">
                  <c:v>0</c:v>
                </c:pt>
                <c:pt idx="162" formatCode="0%">
                  <c:v>0</c:v>
                </c:pt>
                <c:pt idx="163" formatCode="0%">
                  <c:v>0</c:v>
                </c:pt>
                <c:pt idx="164" formatCode="0%">
                  <c:v>0</c:v>
                </c:pt>
                <c:pt idx="165" formatCode="0%">
                  <c:v>0</c:v>
                </c:pt>
                <c:pt idx="166" formatCode="0%">
                  <c:v>0</c:v>
                </c:pt>
                <c:pt idx="167" formatCode="0%">
                  <c:v>0</c:v>
                </c:pt>
                <c:pt idx="168" formatCode="0%">
                  <c:v>0</c:v>
                </c:pt>
                <c:pt idx="169" formatCode="0%">
                  <c:v>0</c:v>
                </c:pt>
                <c:pt idx="170" formatCode="0%">
                  <c:v>0</c:v>
                </c:pt>
                <c:pt idx="171" formatCode="0%">
                  <c:v>0</c:v>
                </c:pt>
                <c:pt idx="172" formatCode="0%">
                  <c:v>0</c:v>
                </c:pt>
                <c:pt idx="173" formatCode="0%">
                  <c:v>0</c:v>
                </c:pt>
                <c:pt idx="174" formatCode="0%">
                  <c:v>0</c:v>
                </c:pt>
                <c:pt idx="175" formatCode="0%">
                  <c:v>0</c:v>
                </c:pt>
                <c:pt idx="176" formatCode="0%">
                  <c:v>0</c:v>
                </c:pt>
                <c:pt idx="177" formatCode="0%">
                  <c:v>0</c:v>
                </c:pt>
                <c:pt idx="178" formatCode="0%">
                  <c:v>0</c:v>
                </c:pt>
                <c:pt idx="179" formatCode="0%">
                  <c:v>0</c:v>
                </c:pt>
                <c:pt idx="180" formatCode="0%">
                  <c:v>0</c:v>
                </c:pt>
                <c:pt idx="181" formatCode="0%">
                  <c:v>0</c:v>
                </c:pt>
                <c:pt idx="182" formatCode="0%">
                  <c:v>0</c:v>
                </c:pt>
                <c:pt idx="183" formatCode="0%">
                  <c:v>0</c:v>
                </c:pt>
                <c:pt idx="184" formatCode="0%">
                  <c:v>0</c:v>
                </c:pt>
                <c:pt idx="185" formatCode="0%">
                  <c:v>0</c:v>
                </c:pt>
                <c:pt idx="186" formatCode="0%">
                  <c:v>0</c:v>
                </c:pt>
                <c:pt idx="187" formatCode="0%">
                  <c:v>0</c:v>
                </c:pt>
                <c:pt idx="188" formatCode="0%">
                  <c:v>0</c:v>
                </c:pt>
              </c:numCache>
            </c:numRef>
          </c:val>
          <c:smooth val="0"/>
          <c:extLst>
            <c:ext xmlns:c16="http://schemas.microsoft.com/office/drawing/2014/chart" uri="{C3380CC4-5D6E-409C-BE32-E72D297353CC}">
              <c16:uniqueId val="{00000000-99A0-084A-A39B-505CF3D16A1C}"/>
            </c:ext>
          </c:extLst>
        </c:ser>
        <c:ser>
          <c:idx val="1"/>
          <c:order val="1"/>
          <c:tx>
            <c:v>Medium C&amp;I</c:v>
          </c:tx>
          <c:spPr>
            <a:ln w="12700">
              <a:solidFill>
                <a:srgbClr val="FF00FF"/>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Load!$E$45:$E$235</c:f>
              <c:numCache>
                <c:formatCode>0.0%</c:formatCode>
                <c:ptCount val="191"/>
                <c:pt idx="0">
                  <c:v>0.6519287164448454</c:v>
                </c:pt>
                <c:pt idx="1">
                  <c:v>0.64539316053147455</c:v>
                </c:pt>
                <c:pt idx="2">
                  <c:v>0.64069952305246425</c:v>
                </c:pt>
                <c:pt idx="3">
                  <c:v>0.62278428527003216</c:v>
                </c:pt>
                <c:pt idx="4">
                  <c:v>0.61855324849296711</c:v>
                </c:pt>
                <c:pt idx="5">
                  <c:v>0.61807350792401927</c:v>
                </c:pt>
                <c:pt idx="6">
                  <c:v>0.61855670103092786</c:v>
                </c:pt>
                <c:pt idx="7">
                  <c:v>0.61939931068439191</c:v>
                </c:pt>
                <c:pt idx="8">
                  <c:v>0.62118544600938963</c:v>
                </c:pt>
                <c:pt idx="9">
                  <c:v>0.62713706888032406</c:v>
                </c:pt>
                <c:pt idx="10">
                  <c:v>0.63950590529851559</c:v>
                </c:pt>
                <c:pt idx="11">
                  <c:v>0.6382782828864082</c:v>
                </c:pt>
                <c:pt idx="12">
                  <c:v>0.63431734317343169</c:v>
                </c:pt>
                <c:pt idx="13">
                  <c:v>0.61756740845402103</c:v>
                </c:pt>
                <c:pt idx="14">
                  <c:v>0.60243575188357934</c:v>
                </c:pt>
                <c:pt idx="15">
                  <c:v>0.62652916793044189</c:v>
                </c:pt>
                <c:pt idx="16">
                  <c:v>0.61448653800333575</c:v>
                </c:pt>
                <c:pt idx="17">
                  <c:v>0.59740259740259738</c:v>
                </c:pt>
                <c:pt idx="18">
                  <c:v>0.5843325339728217</c:v>
                </c:pt>
                <c:pt idx="19">
                  <c:v>0.57187639946260627</c:v>
                </c:pt>
                <c:pt idx="20">
                  <c:v>0.57450646357350432</c:v>
                </c:pt>
                <c:pt idx="21">
                  <c:v>0.58457661290322582</c:v>
                </c:pt>
                <c:pt idx="22">
                  <c:v>0.58831865573438613</c:v>
                </c:pt>
                <c:pt idx="23">
                  <c:v>0.59061214614081781</c:v>
                </c:pt>
                <c:pt idx="24">
                  <c:v>0.56039649608114339</c:v>
                </c:pt>
                <c:pt idx="25">
                  <c:v>0.56137675634462481</c:v>
                </c:pt>
                <c:pt idx="26">
                  <c:v>0.57680355160932295</c:v>
                </c:pt>
                <c:pt idx="27">
                  <c:v>0.57451898075923036</c:v>
                </c:pt>
                <c:pt idx="28">
                  <c:v>0.58499670980478169</c:v>
                </c:pt>
                <c:pt idx="29">
                  <c:v>0.61587236653712418</c:v>
                </c:pt>
                <c:pt idx="30">
                  <c:v>0.60617545424144459</c:v>
                </c:pt>
                <c:pt idx="31">
                  <c:v>0.59683572710951527</c:v>
                </c:pt>
                <c:pt idx="32">
                  <c:v>0.60099250343152777</c:v>
                </c:pt>
                <c:pt idx="33">
                  <c:v>0.60776125483805254</c:v>
                </c:pt>
                <c:pt idx="34">
                  <c:v>0.61978485975671049</c:v>
                </c:pt>
                <c:pt idx="35">
                  <c:v>0.61953758624863819</c:v>
                </c:pt>
                <c:pt idx="36">
                  <c:v>0.62262552934059279</c:v>
                </c:pt>
                <c:pt idx="37">
                  <c:v>0.62607466729478267</c:v>
                </c:pt>
                <c:pt idx="38">
                  <c:v>0.59912124699236313</c:v>
                </c:pt>
                <c:pt idx="39">
                  <c:v>0.62943705629437052</c:v>
                </c:pt>
                <c:pt idx="40">
                  <c:v>0.63616699113130004</c:v>
                </c:pt>
                <c:pt idx="41">
                  <c:v>0.64398653473426504</c:v>
                </c:pt>
                <c:pt idx="42">
                  <c:v>0.63394495412844032</c:v>
                </c:pt>
                <c:pt idx="43">
                  <c:v>0.62625820568927781</c:v>
                </c:pt>
                <c:pt idx="44">
                  <c:v>0.61187036313939869</c:v>
                </c:pt>
                <c:pt idx="45">
                  <c:v>0.63935211807552228</c:v>
                </c:pt>
                <c:pt idx="46">
                  <c:v>0.61083349990005997</c:v>
                </c:pt>
                <c:pt idx="47">
                  <c:v>0.59655285980898021</c:v>
                </c:pt>
                <c:pt idx="48">
                  <c:v>0.57789509154217678</c:v>
                </c:pt>
                <c:pt idx="49">
                  <c:v>0.57483400457167744</c:v>
                </c:pt>
                <c:pt idx="50">
                  <c:v>0.56164952737093599</c:v>
                </c:pt>
                <c:pt idx="51">
                  <c:v>0.57445652173913042</c:v>
                </c:pt>
                <c:pt idx="52">
                  <c:v>0.56065998058880617</c:v>
                </c:pt>
                <c:pt idx="53">
                  <c:v>0.55004922874958984</c:v>
                </c:pt>
                <c:pt idx="54">
                  <c:v>0.53847011596788585</c:v>
                </c:pt>
                <c:pt idx="55">
                  <c:v>0.52730158730158727</c:v>
                </c:pt>
                <c:pt idx="56">
                  <c:v>0.52197802197802201</c:v>
                </c:pt>
                <c:pt idx="57">
                  <c:v>0.5398662808102983</c:v>
                </c:pt>
                <c:pt idx="58">
                  <c:v>0.55329037709939799</c:v>
                </c:pt>
                <c:pt idx="59">
                  <c:v>0.55605902172650157</c:v>
                </c:pt>
                <c:pt idx="60">
                  <c:v>0.54990990990990996</c:v>
                </c:pt>
                <c:pt idx="61">
                  <c:v>0.54981936837198464</c:v>
                </c:pt>
                <c:pt idx="62">
                  <c:v>0.53609442512382754</c:v>
                </c:pt>
                <c:pt idx="63">
                  <c:v>0.53258472027270909</c:v>
                </c:pt>
                <c:pt idx="64">
                  <c:v>0.54149148041602124</c:v>
                </c:pt>
                <c:pt idx="65">
                  <c:v>0.52682450043440487</c:v>
                </c:pt>
                <c:pt idx="66">
                  <c:v>0.53058877644894209</c:v>
                </c:pt>
                <c:pt idx="67">
                  <c:v>0.52057902128119271</c:v>
                </c:pt>
                <c:pt idx="68">
                  <c:v>0.52174778540857969</c:v>
                </c:pt>
                <c:pt idx="69">
                  <c:v>0.51493123772102167</c:v>
                </c:pt>
                <c:pt idx="70">
                  <c:v>0.5153237264055206</c:v>
                </c:pt>
                <c:pt idx="71">
                  <c:v>0.50824742268041245</c:v>
                </c:pt>
                <c:pt idx="72">
                  <c:v>0.50904331270823411</c:v>
                </c:pt>
                <c:pt idx="73">
                  <c:v>0.50592601460553088</c:v>
                </c:pt>
                <c:pt idx="74">
                  <c:v>0.49850395383628981</c:v>
                </c:pt>
                <c:pt idx="75">
                  <c:v>0.50434604765313429</c:v>
                </c:pt>
                <c:pt idx="76">
                  <c:v>0.50944013969224056</c:v>
                </c:pt>
                <c:pt idx="77">
                  <c:v>0.49024937950596853</c:v>
                </c:pt>
                <c:pt idx="78">
                  <c:v>0.4787367460950861</c:v>
                </c:pt>
                <c:pt idx="79">
                  <c:v>0.46676480579775786</c:v>
                </c:pt>
                <c:pt idx="80">
                  <c:v>0.45025619128949618</c:v>
                </c:pt>
                <c:pt idx="81">
                  <c:v>0.45586481113320076</c:v>
                </c:pt>
                <c:pt idx="82">
                  <c:v>0.45414534288638692</c:v>
                </c:pt>
                <c:pt idx="83">
                  <c:v>0.4445357436318817</c:v>
                </c:pt>
                <c:pt idx="84">
                  <c:v>0.44165527525786002</c:v>
                </c:pt>
                <c:pt idx="85">
                  <c:v>0.44003451251078518</c:v>
                </c:pt>
                <c:pt idx="86">
                  <c:v>0.419175911251981</c:v>
                </c:pt>
                <c:pt idx="87">
                  <c:v>0.4565718677940046</c:v>
                </c:pt>
                <c:pt idx="88">
                  <c:v>0.43461237274862963</c:v>
                </c:pt>
                <c:pt idx="89">
                  <c:v>0.4145785876993166</c:v>
                </c:pt>
                <c:pt idx="90">
                  <c:v>0.40507302075326673</c:v>
                </c:pt>
                <c:pt idx="91">
                  <c:v>0.39563636363636362</c:v>
                </c:pt>
                <c:pt idx="92">
                  <c:v>0.39795918367346939</c:v>
                </c:pt>
                <c:pt idx="93">
                  <c:v>0.40269886363636365</c:v>
                </c:pt>
                <c:pt idx="94">
                  <c:v>0.41253051261187956</c:v>
                </c:pt>
                <c:pt idx="95">
                  <c:v>0.41049913941480204</c:v>
                </c:pt>
                <c:pt idx="96">
                  <c:v>0.41451990632318503</c:v>
                </c:pt>
                <c:pt idx="97">
                  <c:v>0.40241305890702628</c:v>
                </c:pt>
                <c:pt idx="98">
                  <c:v>0.38574423480083858</c:v>
                </c:pt>
                <c:pt idx="99">
                  <c:v>0.42412140575079871</c:v>
                </c:pt>
                <c:pt idx="100">
                  <c:v>0.43695652173913041</c:v>
                </c:pt>
                <c:pt idx="101">
                  <c:v>0.42367346938775508</c:v>
                </c:pt>
                <c:pt idx="102">
                  <c:v>0.40247452692867541</c:v>
                </c:pt>
                <c:pt idx="103">
                  <c:v>0.42629482071713148</c:v>
                </c:pt>
                <c:pt idx="104">
                  <c:v>0.43042671614100186</c:v>
                </c:pt>
                <c:pt idx="105">
                  <c:v>0.44121715076071921</c:v>
                </c:pt>
                <c:pt idx="106">
                  <c:v>0.44280693798889015</c:v>
                </c:pt>
                <c:pt idx="107">
                  <c:v>0.44294320137693638</c:v>
                </c:pt>
                <c:pt idx="108">
                  <c:v>0.43800927667042744</c:v>
                </c:pt>
                <c:pt idx="109">
                  <c:v>0.43293591654247393</c:v>
                </c:pt>
                <c:pt idx="110">
                  <c:v>0.434</c:v>
                </c:pt>
                <c:pt idx="111">
                  <c:v>0.36260679515199684</c:v>
                </c:pt>
                <c:pt idx="112">
                  <c:v>0.41196302338227297</c:v>
                </c:pt>
                <c:pt idx="113">
                  <c:v>0.40009213405505012</c:v>
                </c:pt>
                <c:pt idx="114">
                  <c:v>0.38184338184338185</c:v>
                </c:pt>
                <c:pt idx="115">
                  <c:v>0.3858336999560053</c:v>
                </c:pt>
                <c:pt idx="116">
                  <c:v>0.3813670411985019</c:v>
                </c:pt>
                <c:pt idx="117">
                  <c:v>0.36619718309859156</c:v>
                </c:pt>
                <c:pt idx="118">
                  <c:v>0.36812033582089554</c:v>
                </c:pt>
                <c:pt idx="119">
                  <c:v>0.35530222063887901</c:v>
                </c:pt>
                <c:pt idx="120">
                  <c:v>0.33646548608601373</c:v>
                </c:pt>
                <c:pt idx="121">
                  <c:v>0.33308915864378402</c:v>
                </c:pt>
                <c:pt idx="122">
                  <c:v>0.31149508039356849</c:v>
                </c:pt>
                <c:pt idx="123">
                  <c:v>0.33</c:v>
                </c:pt>
                <c:pt idx="124" formatCode="0%">
                  <c:v>0.35</c:v>
                </c:pt>
                <c:pt idx="125" formatCode="0%">
                  <c:v>0.33</c:v>
                </c:pt>
                <c:pt idx="126" formatCode="0%">
                  <c:v>0.33</c:v>
                </c:pt>
                <c:pt idx="127" formatCode="0%">
                  <c:v>0.33</c:v>
                </c:pt>
                <c:pt idx="128" formatCode="0%">
                  <c:v>0.34</c:v>
                </c:pt>
                <c:pt idx="129" formatCode="0%">
                  <c:v>0.34</c:v>
                </c:pt>
                <c:pt idx="130" formatCode="0%">
                  <c:v>0.34</c:v>
                </c:pt>
                <c:pt idx="131" formatCode="0%">
                  <c:v>0.32</c:v>
                </c:pt>
                <c:pt idx="132" formatCode="0%">
                  <c:v>0.32</c:v>
                </c:pt>
                <c:pt idx="133" formatCode="0%">
                  <c:v>0.33</c:v>
                </c:pt>
                <c:pt idx="134" formatCode="0%">
                  <c:v>0.32</c:v>
                </c:pt>
                <c:pt idx="135" formatCode="0%">
                  <c:v>0.31</c:v>
                </c:pt>
                <c:pt idx="136" formatCode="0%">
                  <c:v>0.26</c:v>
                </c:pt>
                <c:pt idx="137" formatCode="0%">
                  <c:v>0.26</c:v>
                </c:pt>
                <c:pt idx="138" formatCode="0%">
                  <c:v>0.26</c:v>
                </c:pt>
                <c:pt idx="139" formatCode="0%">
                  <c:v>0.27</c:v>
                </c:pt>
                <c:pt idx="140" formatCode="0%">
                  <c:v>0.28000000000000003</c:v>
                </c:pt>
                <c:pt idx="141" formatCode="0%">
                  <c:v>0.28000000000000003</c:v>
                </c:pt>
                <c:pt idx="142" formatCode="0%">
                  <c:v>0.28999999999999998</c:v>
                </c:pt>
                <c:pt idx="143" formatCode="0%">
                  <c:v>0.27</c:v>
                </c:pt>
                <c:pt idx="144" formatCode="0%">
                  <c:v>0.26</c:v>
                </c:pt>
                <c:pt idx="145" formatCode="0%">
                  <c:v>0.27</c:v>
                </c:pt>
                <c:pt idx="146" formatCode="0%">
                  <c:v>0.28000000000000003</c:v>
                </c:pt>
                <c:pt idx="147" formatCode="0%">
                  <c:v>0.28999999999999998</c:v>
                </c:pt>
                <c:pt idx="148" formatCode="0%">
                  <c:v>0.27</c:v>
                </c:pt>
                <c:pt idx="149" formatCode="0%">
                  <c:v>0.24</c:v>
                </c:pt>
                <c:pt idx="150" formatCode="0%">
                  <c:v>0.25</c:v>
                </c:pt>
                <c:pt idx="151" formatCode="0%">
                  <c:v>0.24</c:v>
                </c:pt>
                <c:pt idx="152" formatCode="0%">
                  <c:v>0.26</c:v>
                </c:pt>
                <c:pt idx="153" formatCode="0%">
                  <c:v>0.27</c:v>
                </c:pt>
                <c:pt idx="154" formatCode="0%">
                  <c:v>0.27</c:v>
                </c:pt>
                <c:pt idx="155" formatCode="0%">
                  <c:v>0.28000000000000003</c:v>
                </c:pt>
                <c:pt idx="156" formatCode="0%">
                  <c:v>0.27</c:v>
                </c:pt>
                <c:pt idx="158" formatCode="0%">
                  <c:v>0.3</c:v>
                </c:pt>
                <c:pt idx="159" formatCode="0%">
                  <c:v>0.32</c:v>
                </c:pt>
                <c:pt idx="160" formatCode="0%">
                  <c:v>0.32</c:v>
                </c:pt>
                <c:pt idx="161" formatCode="0%">
                  <c:v>0.34</c:v>
                </c:pt>
                <c:pt idx="162" formatCode="0%">
                  <c:v>0.31</c:v>
                </c:pt>
                <c:pt idx="163" formatCode="0%">
                  <c:v>0.32</c:v>
                </c:pt>
                <c:pt idx="164" formatCode="0%">
                  <c:v>0.35</c:v>
                </c:pt>
                <c:pt idx="165" formatCode="0%">
                  <c:v>0.35</c:v>
                </c:pt>
                <c:pt idx="166" formatCode="0%">
                  <c:v>0.35</c:v>
                </c:pt>
                <c:pt idx="167" formatCode="0%">
                  <c:v>0.35</c:v>
                </c:pt>
                <c:pt idx="168" formatCode="0%">
                  <c:v>0.32</c:v>
                </c:pt>
                <c:pt idx="169" formatCode="0%">
                  <c:v>0.33</c:v>
                </c:pt>
                <c:pt idx="170" formatCode="0%">
                  <c:v>0.28000000000000003</c:v>
                </c:pt>
                <c:pt idx="171" formatCode="0%">
                  <c:v>0.22</c:v>
                </c:pt>
                <c:pt idx="172" formatCode="0%">
                  <c:v>0.21</c:v>
                </c:pt>
                <c:pt idx="173" formatCode="0%">
                  <c:v>0.2</c:v>
                </c:pt>
                <c:pt idx="174" formatCode="0%">
                  <c:v>0.18</c:v>
                </c:pt>
                <c:pt idx="175" formatCode="0%">
                  <c:v>0.18</c:v>
                </c:pt>
                <c:pt idx="176" formatCode="0%">
                  <c:v>0.09</c:v>
                </c:pt>
                <c:pt idx="177" formatCode="0%">
                  <c:v>0.08</c:v>
                </c:pt>
                <c:pt idx="178" formatCode="0%">
                  <c:v>0.09</c:v>
                </c:pt>
                <c:pt idx="179" formatCode="0%">
                  <c:v>7.0000000000000007E-2</c:v>
                </c:pt>
                <c:pt idx="180" formatCode="0%">
                  <c:v>0.04</c:v>
                </c:pt>
                <c:pt idx="181" formatCode="0%">
                  <c:v>0.04</c:v>
                </c:pt>
                <c:pt idx="182" formatCode="0%">
                  <c:v>0.03</c:v>
                </c:pt>
                <c:pt idx="183" formatCode="0%">
                  <c:v>0.03</c:v>
                </c:pt>
                <c:pt idx="184" formatCode="0%">
                  <c:v>0.03</c:v>
                </c:pt>
                <c:pt idx="185" formatCode="0%">
                  <c:v>0.03</c:v>
                </c:pt>
                <c:pt idx="186" formatCode="0%">
                  <c:v>0.02</c:v>
                </c:pt>
                <c:pt idx="187" formatCode="0%">
                  <c:v>0.02</c:v>
                </c:pt>
                <c:pt idx="188" formatCode="0%">
                  <c:v>0.02</c:v>
                </c:pt>
              </c:numCache>
            </c:numRef>
          </c:val>
          <c:smooth val="0"/>
          <c:extLst>
            <c:ext xmlns:c16="http://schemas.microsoft.com/office/drawing/2014/chart" uri="{C3380CC4-5D6E-409C-BE32-E72D297353CC}">
              <c16:uniqueId val="{00000001-99A0-084A-A39B-505CF3D16A1C}"/>
            </c:ext>
          </c:extLst>
        </c:ser>
        <c:ser>
          <c:idx val="2"/>
          <c:order val="2"/>
          <c:tx>
            <c:v>Large C&amp;I</c:v>
          </c:tx>
          <c:spPr>
            <a:ln w="12700">
              <a:solidFill>
                <a:schemeClr val="accent2">
                  <a:lumMod val="60000"/>
                  <a:lumOff val="40000"/>
                </a:schemeClr>
              </a:solidFill>
              <a:prstDash val="solid"/>
            </a:ln>
          </c:spPr>
          <c:marker>
            <c:symbol val="none"/>
          </c:marker>
          <c:cat>
            <c:numRef>
              <c:f>Load!$A$45:$A$235</c:f>
              <c:numCache>
                <c:formatCode>mmm\-yy</c:formatCode>
                <c:ptCount val="191"/>
                <c:pt idx="0">
                  <c:v>42461</c:v>
                </c:pt>
                <c:pt idx="1">
                  <c:v>42430</c:v>
                </c:pt>
                <c:pt idx="2">
                  <c:v>42401</c:v>
                </c:pt>
                <c:pt idx="3">
                  <c:v>42370</c:v>
                </c:pt>
                <c:pt idx="4">
                  <c:v>42339</c:v>
                </c:pt>
                <c:pt idx="5">
                  <c:v>42309</c:v>
                </c:pt>
                <c:pt idx="6">
                  <c:v>42278</c:v>
                </c:pt>
                <c:pt idx="7">
                  <c:v>42248</c:v>
                </c:pt>
                <c:pt idx="8">
                  <c:v>42217</c:v>
                </c:pt>
                <c:pt idx="9">
                  <c:v>42186</c:v>
                </c:pt>
                <c:pt idx="10">
                  <c:v>42156</c:v>
                </c:pt>
                <c:pt idx="11">
                  <c:v>42125</c:v>
                </c:pt>
                <c:pt idx="12">
                  <c:v>42095</c:v>
                </c:pt>
                <c:pt idx="13">
                  <c:v>42064</c:v>
                </c:pt>
                <c:pt idx="14">
                  <c:v>42036</c:v>
                </c:pt>
                <c:pt idx="15">
                  <c:v>42005</c:v>
                </c:pt>
                <c:pt idx="16">
                  <c:v>41974</c:v>
                </c:pt>
                <c:pt idx="17">
                  <c:v>41944</c:v>
                </c:pt>
                <c:pt idx="18">
                  <c:v>41926</c:v>
                </c:pt>
                <c:pt idx="19">
                  <c:v>41883</c:v>
                </c:pt>
                <c:pt idx="20">
                  <c:v>41852</c:v>
                </c:pt>
                <c:pt idx="21">
                  <c:v>41821</c:v>
                </c:pt>
                <c:pt idx="22">
                  <c:v>41791</c:v>
                </c:pt>
                <c:pt idx="23">
                  <c:v>41760</c:v>
                </c:pt>
                <c:pt idx="24">
                  <c:v>41730</c:v>
                </c:pt>
                <c:pt idx="25">
                  <c:v>41699</c:v>
                </c:pt>
                <c:pt idx="26">
                  <c:v>41671</c:v>
                </c:pt>
                <c:pt idx="27">
                  <c:v>41640</c:v>
                </c:pt>
                <c:pt idx="28">
                  <c:v>41609</c:v>
                </c:pt>
                <c:pt idx="29">
                  <c:v>41579</c:v>
                </c:pt>
                <c:pt idx="30">
                  <c:v>41548</c:v>
                </c:pt>
                <c:pt idx="31">
                  <c:v>41518</c:v>
                </c:pt>
                <c:pt idx="32">
                  <c:v>41487</c:v>
                </c:pt>
                <c:pt idx="33">
                  <c:v>41456</c:v>
                </c:pt>
                <c:pt idx="34">
                  <c:v>41426</c:v>
                </c:pt>
                <c:pt idx="35">
                  <c:v>41395</c:v>
                </c:pt>
                <c:pt idx="36">
                  <c:v>41365</c:v>
                </c:pt>
                <c:pt idx="37">
                  <c:v>41334</c:v>
                </c:pt>
                <c:pt idx="38">
                  <c:v>41306</c:v>
                </c:pt>
                <c:pt idx="39">
                  <c:v>41275</c:v>
                </c:pt>
                <c:pt idx="40">
                  <c:v>41244</c:v>
                </c:pt>
                <c:pt idx="41">
                  <c:v>41214</c:v>
                </c:pt>
                <c:pt idx="42">
                  <c:v>41183</c:v>
                </c:pt>
                <c:pt idx="43">
                  <c:v>41153</c:v>
                </c:pt>
                <c:pt idx="44">
                  <c:v>41122</c:v>
                </c:pt>
                <c:pt idx="45">
                  <c:v>41091</c:v>
                </c:pt>
                <c:pt idx="46">
                  <c:v>41061</c:v>
                </c:pt>
                <c:pt idx="47">
                  <c:v>41030</c:v>
                </c:pt>
                <c:pt idx="48">
                  <c:v>41000</c:v>
                </c:pt>
                <c:pt idx="49">
                  <c:v>40969</c:v>
                </c:pt>
                <c:pt idx="50">
                  <c:v>40940</c:v>
                </c:pt>
                <c:pt idx="51">
                  <c:v>40909</c:v>
                </c:pt>
                <c:pt idx="52">
                  <c:v>40878</c:v>
                </c:pt>
                <c:pt idx="53">
                  <c:v>40848</c:v>
                </c:pt>
                <c:pt idx="54">
                  <c:v>40817</c:v>
                </c:pt>
                <c:pt idx="55">
                  <c:v>40797</c:v>
                </c:pt>
                <c:pt idx="56">
                  <c:v>40756</c:v>
                </c:pt>
                <c:pt idx="57">
                  <c:v>40725</c:v>
                </c:pt>
                <c:pt idx="58">
                  <c:v>40695</c:v>
                </c:pt>
                <c:pt idx="59">
                  <c:v>40664</c:v>
                </c:pt>
                <c:pt idx="60">
                  <c:v>40634</c:v>
                </c:pt>
                <c:pt idx="61">
                  <c:v>40603</c:v>
                </c:pt>
                <c:pt idx="62">
                  <c:v>40575</c:v>
                </c:pt>
                <c:pt idx="63" formatCode="[$-409]mmm\-yy;@">
                  <c:v>40544</c:v>
                </c:pt>
                <c:pt idx="64" formatCode="[$-409]mmm\-yy;@">
                  <c:v>40513</c:v>
                </c:pt>
                <c:pt idx="65" formatCode="[$-409]mmm\-yy;@">
                  <c:v>40483</c:v>
                </c:pt>
                <c:pt idx="66" formatCode="[$-409]mmm\-yy;@">
                  <c:v>40452</c:v>
                </c:pt>
                <c:pt idx="67" formatCode="[$-409]mmm\-yy;@">
                  <c:v>40422</c:v>
                </c:pt>
                <c:pt idx="68" formatCode="[$-409]mmm\-yy;@">
                  <c:v>40391</c:v>
                </c:pt>
                <c:pt idx="69" formatCode="[$-409]mmm\-yy;@">
                  <c:v>40360</c:v>
                </c:pt>
                <c:pt idx="70" formatCode="[$-409]mmm\-yy;@">
                  <c:v>40330</c:v>
                </c:pt>
                <c:pt idx="71" formatCode="[$-409]mmm\-yy;@">
                  <c:v>40299</c:v>
                </c:pt>
                <c:pt idx="72" formatCode="[$-409]mmm\-yy;@">
                  <c:v>40269</c:v>
                </c:pt>
                <c:pt idx="73" formatCode="[$-409]mmm\-yy;@">
                  <c:v>40238</c:v>
                </c:pt>
                <c:pt idx="74" formatCode="[$-409]mmm\-yy;@">
                  <c:v>40210</c:v>
                </c:pt>
                <c:pt idx="75" formatCode="[$-409]mmm\-yy;@">
                  <c:v>40179</c:v>
                </c:pt>
                <c:pt idx="76" formatCode="[$-409]mmm\-yy;@">
                  <c:v>40148</c:v>
                </c:pt>
                <c:pt idx="77" formatCode="[$-409]mmm\-yy;@">
                  <c:v>40118</c:v>
                </c:pt>
                <c:pt idx="78" formatCode="[$-409]mmm\-yy;@">
                  <c:v>40087</c:v>
                </c:pt>
                <c:pt idx="79" formatCode="[$-409]mmm\-yy;@">
                  <c:v>40057</c:v>
                </c:pt>
                <c:pt idx="80" formatCode="[$-409]mmm\-yy;@">
                  <c:v>40026</c:v>
                </c:pt>
                <c:pt idx="81" formatCode="[$-409]mmm\-yy;@">
                  <c:v>39995</c:v>
                </c:pt>
                <c:pt idx="82" formatCode="[$-409]mmm\-yy;@">
                  <c:v>39965</c:v>
                </c:pt>
                <c:pt idx="83" formatCode="[$-409]mmm\-yy;@">
                  <c:v>39934</c:v>
                </c:pt>
                <c:pt idx="84" formatCode="[$-409]mmm\-yy;@">
                  <c:v>39904</c:v>
                </c:pt>
                <c:pt idx="85" formatCode="[$-409]mmm\-yy;@">
                  <c:v>39873</c:v>
                </c:pt>
                <c:pt idx="86" formatCode="[$-409]mmm\-yy;@">
                  <c:v>39845</c:v>
                </c:pt>
                <c:pt idx="87" formatCode="[$-409]mmm\-yy;@">
                  <c:v>39814</c:v>
                </c:pt>
                <c:pt idx="88" formatCode="[$-409]mmm\-yy;@">
                  <c:v>39783</c:v>
                </c:pt>
                <c:pt idx="89" formatCode="[$-409]mmm\-yy;@">
                  <c:v>39753</c:v>
                </c:pt>
                <c:pt idx="90" formatCode="[$-409]mmm\-yy;@">
                  <c:v>39722</c:v>
                </c:pt>
                <c:pt idx="91" formatCode="[$-409]mmm\-yy;@">
                  <c:v>39692</c:v>
                </c:pt>
                <c:pt idx="92" formatCode="[$-409]mmm\-yy;@">
                  <c:v>39661</c:v>
                </c:pt>
                <c:pt idx="93" formatCode="[$-409]mmm\-yy;@">
                  <c:v>39630</c:v>
                </c:pt>
                <c:pt idx="94" formatCode="[$-409]mmm\-yy;@">
                  <c:v>39600</c:v>
                </c:pt>
                <c:pt idx="95" formatCode="[$-409]mmm\-yy;@">
                  <c:v>39569</c:v>
                </c:pt>
                <c:pt idx="96" formatCode="[$-409]mmm\-yy;@">
                  <c:v>39539</c:v>
                </c:pt>
                <c:pt idx="97" formatCode="[$-409]mmm\-yy;@">
                  <c:v>39508</c:v>
                </c:pt>
                <c:pt idx="98" formatCode="[$-409]mmm\-yy;@">
                  <c:v>39479</c:v>
                </c:pt>
                <c:pt idx="99" formatCode="[$-409]mmm\-yy;@">
                  <c:v>39448</c:v>
                </c:pt>
                <c:pt idx="100" formatCode="[$-409]mmm\-yy;@">
                  <c:v>39417</c:v>
                </c:pt>
                <c:pt idx="101" formatCode="[$-409]mmm\-yy;@">
                  <c:v>39387</c:v>
                </c:pt>
                <c:pt idx="102" formatCode="[$-409]mmm\-yy;@">
                  <c:v>39356</c:v>
                </c:pt>
                <c:pt idx="103" formatCode="[$-409]mmm\-yy;@">
                  <c:v>39326</c:v>
                </c:pt>
                <c:pt idx="104" formatCode="[$-409]mmm\-yy;@">
                  <c:v>39295</c:v>
                </c:pt>
                <c:pt idx="105" formatCode="[$-409]mmm\-yy;@">
                  <c:v>39264</c:v>
                </c:pt>
                <c:pt idx="106" formatCode="[$-409]mmm\-yy;@">
                  <c:v>39234</c:v>
                </c:pt>
                <c:pt idx="107" formatCode="[$-409]mmm\-yy;@">
                  <c:v>39203</c:v>
                </c:pt>
                <c:pt idx="108" formatCode="[$-409]mmm\-yy;@">
                  <c:v>39173</c:v>
                </c:pt>
                <c:pt idx="109" formatCode="[$-409]mmm\-yy;@">
                  <c:v>39142</c:v>
                </c:pt>
                <c:pt idx="110" formatCode="[$-409]mmm\-yy;@">
                  <c:v>39114</c:v>
                </c:pt>
                <c:pt idx="111" formatCode="[$-409]mmm\-yy;@">
                  <c:v>39083</c:v>
                </c:pt>
                <c:pt idx="112" formatCode="[$-409]mmm\-yy;@">
                  <c:v>39052</c:v>
                </c:pt>
                <c:pt idx="113" formatCode="[$-409]mmm\-yy;@">
                  <c:v>39022</c:v>
                </c:pt>
                <c:pt idx="114" formatCode="[$-409]mmm\-yy;@">
                  <c:v>38991</c:v>
                </c:pt>
                <c:pt idx="115" formatCode="[$-409]mmm\-yy;@">
                  <c:v>38961</c:v>
                </c:pt>
                <c:pt idx="116" formatCode="[$-409]mmm\-yy;@">
                  <c:v>38930</c:v>
                </c:pt>
                <c:pt idx="117" formatCode="[$-409]mmm\-yy;@">
                  <c:v>38899</c:v>
                </c:pt>
                <c:pt idx="118" formatCode="[$-409]mmm\-yy;@">
                  <c:v>38869</c:v>
                </c:pt>
                <c:pt idx="119" formatCode="[$-409]mmm\-yy;@">
                  <c:v>38838</c:v>
                </c:pt>
                <c:pt idx="120" formatCode="[$-409]mmm\-yy;@">
                  <c:v>38808</c:v>
                </c:pt>
                <c:pt idx="121" formatCode="[$-409]mmm\-yy;@">
                  <c:v>38777</c:v>
                </c:pt>
                <c:pt idx="122" formatCode="[$-409]mmm\-yy;@">
                  <c:v>38749</c:v>
                </c:pt>
                <c:pt idx="123" formatCode="[$-409]mmm\-yy;@">
                  <c:v>38718</c:v>
                </c:pt>
                <c:pt idx="124" formatCode="[$-409]mmm\-yy;@">
                  <c:v>38687</c:v>
                </c:pt>
                <c:pt idx="125" formatCode="[$-409]mmm\-yy;@">
                  <c:v>38657</c:v>
                </c:pt>
                <c:pt idx="126" formatCode="[$-409]mmm\-yy;@">
                  <c:v>38626</c:v>
                </c:pt>
                <c:pt idx="127" formatCode="[$-409]mmm\-yy;@">
                  <c:v>38596</c:v>
                </c:pt>
                <c:pt idx="128" formatCode="[$-409]mmm\-yy;@">
                  <c:v>38565</c:v>
                </c:pt>
                <c:pt idx="129" formatCode="[$-409]mmm\-yy;@">
                  <c:v>38534</c:v>
                </c:pt>
                <c:pt idx="130" formatCode="[$-409]mmm\-yy;@">
                  <c:v>38504</c:v>
                </c:pt>
                <c:pt idx="131" formatCode="[$-409]mmm\-yy;@">
                  <c:v>38473</c:v>
                </c:pt>
                <c:pt idx="132" formatCode="[$-409]mmm\-yy;@">
                  <c:v>38443</c:v>
                </c:pt>
                <c:pt idx="133" formatCode="[$-409]mmm\-yy;@">
                  <c:v>38412</c:v>
                </c:pt>
                <c:pt idx="134" formatCode="[$-409]mmm\-yy;@">
                  <c:v>38384</c:v>
                </c:pt>
                <c:pt idx="135" formatCode="[$-409]mmm\-yy;@">
                  <c:v>38353</c:v>
                </c:pt>
                <c:pt idx="136" formatCode="[$-409]mmm\-yy;@">
                  <c:v>38322</c:v>
                </c:pt>
                <c:pt idx="137" formatCode="[$-409]mmm\-yy;@">
                  <c:v>38292</c:v>
                </c:pt>
                <c:pt idx="138" formatCode="[$-409]mmm\-yy;@">
                  <c:v>38261</c:v>
                </c:pt>
                <c:pt idx="139" formatCode="[$-409]mmm\-yy;@">
                  <c:v>38231</c:v>
                </c:pt>
                <c:pt idx="140" formatCode="[$-409]mmm\-yy;@">
                  <c:v>38200</c:v>
                </c:pt>
                <c:pt idx="141" formatCode="[$-409]mmm\-yy;@">
                  <c:v>38169</c:v>
                </c:pt>
                <c:pt idx="142" formatCode="[$-409]mmm\-yy;@">
                  <c:v>38139</c:v>
                </c:pt>
                <c:pt idx="143" formatCode="[$-409]mmm\-yy;@">
                  <c:v>38108</c:v>
                </c:pt>
                <c:pt idx="144" formatCode="[$-409]mmm\-yy;@">
                  <c:v>38078</c:v>
                </c:pt>
                <c:pt idx="145" formatCode="[$-409]mmm\-yy;@">
                  <c:v>38047</c:v>
                </c:pt>
                <c:pt idx="146" formatCode="[$-409]mmm\-yy;@">
                  <c:v>38018</c:v>
                </c:pt>
                <c:pt idx="147" formatCode="[$-409]mmm\-yy;@">
                  <c:v>37987</c:v>
                </c:pt>
                <c:pt idx="148" formatCode="[$-409]mmm\-yy;@">
                  <c:v>37956</c:v>
                </c:pt>
                <c:pt idx="149" formatCode="[$-409]mmm\-yy;@">
                  <c:v>37926</c:v>
                </c:pt>
                <c:pt idx="150" formatCode="[$-409]mmm\-yy;@">
                  <c:v>37895</c:v>
                </c:pt>
                <c:pt idx="151" formatCode="[$-409]mmm\-yy;@">
                  <c:v>37865</c:v>
                </c:pt>
                <c:pt idx="152" formatCode="[$-409]mmm\-yy;@">
                  <c:v>37834</c:v>
                </c:pt>
                <c:pt idx="153" formatCode="[$-409]mmm\-yy;@">
                  <c:v>37803</c:v>
                </c:pt>
                <c:pt idx="154" formatCode="[$-409]mmm\-yy;@">
                  <c:v>37773</c:v>
                </c:pt>
                <c:pt idx="155" formatCode="[$-409]mmm\-yy;@">
                  <c:v>37742</c:v>
                </c:pt>
                <c:pt idx="156" formatCode="[$-409]mmm\-yy;@">
                  <c:v>37712</c:v>
                </c:pt>
                <c:pt idx="157" formatCode="[$-409]mmm\-yy;@">
                  <c:v>37681</c:v>
                </c:pt>
                <c:pt idx="158" formatCode="[$-409]mmm\-yy;@">
                  <c:v>37653</c:v>
                </c:pt>
                <c:pt idx="159" formatCode="[$-409]mmm\-yy;@">
                  <c:v>37622</c:v>
                </c:pt>
                <c:pt idx="160" formatCode="[$-409]mmm\-yy;@">
                  <c:v>37591</c:v>
                </c:pt>
                <c:pt idx="161" formatCode="[$-409]mmm\-yy;@">
                  <c:v>37561</c:v>
                </c:pt>
                <c:pt idx="162" formatCode="[$-409]mmm\-yy;@">
                  <c:v>37530</c:v>
                </c:pt>
                <c:pt idx="163" formatCode="[$-409]mmm\-yy;@">
                  <c:v>37500</c:v>
                </c:pt>
                <c:pt idx="164" formatCode="[$-409]mmm\-yy;@">
                  <c:v>37469</c:v>
                </c:pt>
                <c:pt idx="165" formatCode="[$-409]mmm\-yy;@">
                  <c:v>37438</c:v>
                </c:pt>
                <c:pt idx="166" formatCode="[$-409]mmm\-yy;@">
                  <c:v>37408</c:v>
                </c:pt>
                <c:pt idx="167" formatCode="[$-409]mmm\-yy;@">
                  <c:v>37377</c:v>
                </c:pt>
                <c:pt idx="168" formatCode="[$-409]mmm\-yy;@">
                  <c:v>37347</c:v>
                </c:pt>
                <c:pt idx="169" formatCode="[$-409]mmm\-yy;@">
                  <c:v>37316</c:v>
                </c:pt>
                <c:pt idx="170" formatCode="[$-409]mmm\-yy;@">
                  <c:v>37288</c:v>
                </c:pt>
                <c:pt idx="171" formatCode="[$-409]mmm\-yy;@">
                  <c:v>37257</c:v>
                </c:pt>
                <c:pt idx="172" formatCode="[$-409]mmm\-yy;@">
                  <c:v>37226</c:v>
                </c:pt>
                <c:pt idx="173" formatCode="[$-409]mmm\-yy;@">
                  <c:v>37196</c:v>
                </c:pt>
                <c:pt idx="174" formatCode="[$-409]mmm\-yy;@">
                  <c:v>37165</c:v>
                </c:pt>
                <c:pt idx="175" formatCode="[$-409]mmm\-yy;@">
                  <c:v>37135</c:v>
                </c:pt>
                <c:pt idx="176" formatCode="[$-409]mmm\-yy;@">
                  <c:v>37104</c:v>
                </c:pt>
                <c:pt idx="177" formatCode="[$-409]mmm\-yy;@">
                  <c:v>37073</c:v>
                </c:pt>
                <c:pt idx="178" formatCode="[$-409]mmm\-yy;@">
                  <c:v>37043</c:v>
                </c:pt>
                <c:pt idx="179" formatCode="[$-409]mmm\-yy;@">
                  <c:v>37012</c:v>
                </c:pt>
                <c:pt idx="180" formatCode="[$-409]mmm\-yy;@">
                  <c:v>36982</c:v>
                </c:pt>
                <c:pt idx="181" formatCode="[$-409]mmm\-yy;@">
                  <c:v>36951</c:v>
                </c:pt>
                <c:pt idx="182" formatCode="[$-409]mmm\-yy;@">
                  <c:v>36923</c:v>
                </c:pt>
                <c:pt idx="183" formatCode="[$-409]mmm\-yy;@">
                  <c:v>36892</c:v>
                </c:pt>
                <c:pt idx="184" formatCode="[$-409]mmm\-yy;@">
                  <c:v>36861</c:v>
                </c:pt>
                <c:pt idx="185" formatCode="[$-409]mmm\-yy;@">
                  <c:v>36831</c:v>
                </c:pt>
                <c:pt idx="186" formatCode="[$-409]mmm\-yy;@">
                  <c:v>36800</c:v>
                </c:pt>
                <c:pt idx="187" formatCode="[$-409]mmm\-yy;@">
                  <c:v>36770</c:v>
                </c:pt>
                <c:pt idx="188" formatCode="[$-409]mmm\-yy;@">
                  <c:v>36739</c:v>
                </c:pt>
                <c:pt idx="189" formatCode="[$-409]mmm\-yy;@">
                  <c:v>36708</c:v>
                </c:pt>
                <c:pt idx="190" formatCode="[$-409]mmm\-yy;@">
                  <c:v>36678</c:v>
                </c:pt>
              </c:numCache>
            </c:numRef>
          </c:cat>
          <c:val>
            <c:numRef>
              <c:f>Load!$H$45:$H$235</c:f>
              <c:numCache>
                <c:formatCode>0.0%</c:formatCode>
                <c:ptCount val="191"/>
                <c:pt idx="0">
                  <c:v>0.98292682926829267</c:v>
                </c:pt>
                <c:pt idx="1">
                  <c:v>0.97208931419457656</c:v>
                </c:pt>
                <c:pt idx="2">
                  <c:v>0.97908248157832189</c:v>
                </c:pt>
                <c:pt idx="3">
                  <c:v>0.95115681233933169</c:v>
                </c:pt>
                <c:pt idx="4">
                  <c:v>0.9394542353610007</c:v>
                </c:pt>
                <c:pt idx="5">
                  <c:v>0.9020495075858399</c:v>
                </c:pt>
                <c:pt idx="6">
                  <c:v>0.92289252896524177</c:v>
                </c:pt>
                <c:pt idx="7">
                  <c:v>0.9693563009972801</c:v>
                </c:pt>
                <c:pt idx="8">
                  <c:v>0.94652844086754884</c:v>
                </c:pt>
                <c:pt idx="9">
                  <c:v>0.96588594704684327</c:v>
                </c:pt>
                <c:pt idx="10">
                  <c:v>0.85289866709490925</c:v>
                </c:pt>
                <c:pt idx="11">
                  <c:v>0.91909924937447862</c:v>
                </c:pt>
                <c:pt idx="12">
                  <c:v>0.9610132950053899</c:v>
                </c:pt>
                <c:pt idx="13">
                  <c:v>0.91075376884422121</c:v>
                </c:pt>
                <c:pt idx="14">
                  <c:v>0.97736093143596381</c:v>
                </c:pt>
                <c:pt idx="15">
                  <c:v>0.86882865440464674</c:v>
                </c:pt>
                <c:pt idx="16">
                  <c:v>0.99239636987981361</c:v>
                </c:pt>
                <c:pt idx="17">
                  <c:v>0.95051227527546878</c:v>
                </c:pt>
                <c:pt idx="18">
                  <c:v>0.93266832917705733</c:v>
                </c:pt>
                <c:pt idx="19">
                  <c:v>0.9552968960863697</c:v>
                </c:pt>
                <c:pt idx="20">
                  <c:v>0.93734836591979454</c:v>
                </c:pt>
                <c:pt idx="21">
                  <c:v>0.83652456647398843</c:v>
                </c:pt>
                <c:pt idx="22">
                  <c:v>0.82405533063427805</c:v>
                </c:pt>
                <c:pt idx="23">
                  <c:v>0.93069306930693074</c:v>
                </c:pt>
                <c:pt idx="24">
                  <c:v>0.94909420289855073</c:v>
                </c:pt>
                <c:pt idx="25">
                  <c:v>0.96552937038339781</c:v>
                </c:pt>
                <c:pt idx="26">
                  <c:v>0.79399727148703958</c:v>
                </c:pt>
                <c:pt idx="27">
                  <c:v>0.80376681614349765</c:v>
                </c:pt>
                <c:pt idx="28">
                  <c:v>0.76992578251048716</c:v>
                </c:pt>
                <c:pt idx="29">
                  <c:v>0.97126220886551462</c:v>
                </c:pt>
                <c:pt idx="30">
                  <c:v>0.94268246083301499</c:v>
                </c:pt>
                <c:pt idx="31">
                  <c:v>0.91350555918901244</c:v>
                </c:pt>
                <c:pt idx="32">
                  <c:v>0.96929112554112551</c:v>
                </c:pt>
                <c:pt idx="33">
                  <c:v>0.93803708729081869</c:v>
                </c:pt>
                <c:pt idx="34">
                  <c:v>0.96752109536697972</c:v>
                </c:pt>
                <c:pt idx="35">
                  <c:v>0.95617474096891619</c:v>
                </c:pt>
                <c:pt idx="36">
                  <c:v>0.8438837920489296</c:v>
                </c:pt>
                <c:pt idx="37">
                  <c:v>0.96446428571428566</c:v>
                </c:pt>
                <c:pt idx="38">
                  <c:v>0.93080781871648499</c:v>
                </c:pt>
                <c:pt idx="39">
                  <c:v>0.92447777182645952</c:v>
                </c:pt>
                <c:pt idx="40">
                  <c:v>0.98914823914823913</c:v>
                </c:pt>
                <c:pt idx="41">
                  <c:v>0.93010752688172038</c:v>
                </c:pt>
                <c:pt idx="42">
                  <c:v>0.98447472830774552</c:v>
                </c:pt>
                <c:pt idx="43">
                  <c:v>0.96255770217131142</c:v>
                </c:pt>
                <c:pt idx="44">
                  <c:v>0.84816259009807393</c:v>
                </c:pt>
                <c:pt idx="45">
                  <c:v>0.95187969924812033</c:v>
                </c:pt>
                <c:pt idx="46">
                  <c:v>0.93431372549019609</c:v>
                </c:pt>
                <c:pt idx="47">
                  <c:v>0.90413566360962105</c:v>
                </c:pt>
                <c:pt idx="48">
                  <c:v>0.92652529761904756</c:v>
                </c:pt>
                <c:pt idx="49">
                  <c:v>0.97380557092787301</c:v>
                </c:pt>
                <c:pt idx="50">
                  <c:v>0.97345666599638037</c:v>
                </c:pt>
                <c:pt idx="51">
                  <c:v>0.96603432700993686</c:v>
                </c:pt>
                <c:pt idx="52">
                  <c:v>0.96266770367489807</c:v>
                </c:pt>
                <c:pt idx="53">
                  <c:v>0.96877787689562889</c:v>
                </c:pt>
                <c:pt idx="54">
                  <c:v>0.96616283064239095</c:v>
                </c:pt>
                <c:pt idx="55">
                  <c:v>0.93242981606969988</c:v>
                </c:pt>
                <c:pt idx="56">
                  <c:v>0.93213122965189066</c:v>
                </c:pt>
                <c:pt idx="57">
                  <c:v>0.90646853146853157</c:v>
                </c:pt>
                <c:pt idx="58">
                  <c:v>0.93800322061191621</c:v>
                </c:pt>
                <c:pt idx="59">
                  <c:v>0.92558139534883721</c:v>
                </c:pt>
                <c:pt idx="60">
                  <c:v>0.93638101859899181</c:v>
                </c:pt>
                <c:pt idx="61">
                  <c:v>0.96626134612091119</c:v>
                </c:pt>
                <c:pt idx="62">
                  <c:v>0.96439317953861581</c:v>
                </c:pt>
                <c:pt idx="63">
                  <c:v>0.95767032287965403</c:v>
                </c:pt>
                <c:pt idx="64">
                  <c:v>0.96809854706253939</c:v>
                </c:pt>
                <c:pt idx="65">
                  <c:v>0.96645021645021645</c:v>
                </c:pt>
                <c:pt idx="66">
                  <c:v>0.96590088137552377</c:v>
                </c:pt>
                <c:pt idx="67">
                  <c:v>0.96787202580992071</c:v>
                </c:pt>
                <c:pt idx="68">
                  <c:v>0.94805781391147237</c:v>
                </c:pt>
                <c:pt idx="69">
                  <c:v>0.94848216264125862</c:v>
                </c:pt>
                <c:pt idx="70">
                  <c:v>0.97015720756727952</c:v>
                </c:pt>
                <c:pt idx="71">
                  <c:v>0.81517458650564456</c:v>
                </c:pt>
                <c:pt idx="72">
                  <c:v>0.87152186257808062</c:v>
                </c:pt>
                <c:pt idx="73">
                  <c:v>0.85541448842419709</c:v>
                </c:pt>
                <c:pt idx="74">
                  <c:v>0.95865551522802583</c:v>
                </c:pt>
                <c:pt idx="75">
                  <c:v>0.94473930689978147</c:v>
                </c:pt>
                <c:pt idx="76">
                  <c:v>0.96310646900269536</c:v>
                </c:pt>
                <c:pt idx="77">
                  <c:v>0.96049046321525877</c:v>
                </c:pt>
                <c:pt idx="78">
                  <c:v>0.95669736629503965</c:v>
                </c:pt>
                <c:pt idx="79">
                  <c:v>0.93980288097043219</c:v>
                </c:pt>
                <c:pt idx="80">
                  <c:v>0.82378462565357669</c:v>
                </c:pt>
                <c:pt idx="81">
                  <c:v>0.92054597701149421</c:v>
                </c:pt>
                <c:pt idx="82">
                  <c:v>0.91076044075635976</c:v>
                </c:pt>
                <c:pt idx="83">
                  <c:v>0.91044776119402981</c:v>
                </c:pt>
                <c:pt idx="84">
                  <c:v>0.90048279084254779</c:v>
                </c:pt>
                <c:pt idx="85">
                  <c:v>0.90738813735691992</c:v>
                </c:pt>
                <c:pt idx="86">
                  <c:v>0.90966386554621848</c:v>
                </c:pt>
                <c:pt idx="87">
                  <c:v>0.93985637342908435</c:v>
                </c:pt>
                <c:pt idx="88">
                  <c:v>0.8957617411225659</c:v>
                </c:pt>
                <c:pt idx="89">
                  <c:v>0.92540540540540539</c:v>
                </c:pt>
                <c:pt idx="90">
                  <c:v>0.92532188841201723</c:v>
                </c:pt>
                <c:pt idx="91">
                  <c:v>0.75960752248569097</c:v>
                </c:pt>
                <c:pt idx="92">
                  <c:v>0.87179487179487181</c:v>
                </c:pt>
                <c:pt idx="93">
                  <c:v>0.87361623616236161</c:v>
                </c:pt>
                <c:pt idx="94">
                  <c:v>0.91077257889009788</c:v>
                </c:pt>
                <c:pt idx="95">
                  <c:v>0.91431556948798332</c:v>
                </c:pt>
                <c:pt idx="96">
                  <c:v>0.92569002123142252</c:v>
                </c:pt>
                <c:pt idx="97">
                  <c:v>0.94490644490644493</c:v>
                </c:pt>
                <c:pt idx="98">
                  <c:v>0.8988212180746562</c:v>
                </c:pt>
                <c:pt idx="99">
                  <c:v>0.95132743362831862</c:v>
                </c:pt>
                <c:pt idx="100">
                  <c:v>0.92964352720450283</c:v>
                </c:pt>
                <c:pt idx="101">
                  <c:v>0.66570605187319887</c:v>
                </c:pt>
                <c:pt idx="102">
                  <c:v>0.83996383363471971</c:v>
                </c:pt>
                <c:pt idx="103">
                  <c:v>0.79470729751403368</c:v>
                </c:pt>
                <c:pt idx="104">
                  <c:v>0.78549618320610692</c:v>
                </c:pt>
                <c:pt idx="105">
                  <c:v>0.89628924833491908</c:v>
                </c:pt>
                <c:pt idx="106">
                  <c:v>0.94038541522251495</c:v>
                </c:pt>
                <c:pt idx="107">
                  <c:v>0.93762993762993763</c:v>
                </c:pt>
                <c:pt idx="108">
                  <c:v>0.93698866082962529</c:v>
                </c:pt>
                <c:pt idx="109">
                  <c:v>0.94399185336048885</c:v>
                </c:pt>
                <c:pt idx="110">
                  <c:v>0.85846438482886211</c:v>
                </c:pt>
                <c:pt idx="111">
                  <c:v>0.90938089024213431</c:v>
                </c:pt>
                <c:pt idx="112">
                  <c:v>0.91089406461307287</c:v>
                </c:pt>
                <c:pt idx="113">
                  <c:v>0.92391792721282018</c:v>
                </c:pt>
                <c:pt idx="114">
                  <c:v>0.87066503467972256</c:v>
                </c:pt>
                <c:pt idx="115">
                  <c:v>0.5483735277621985</c:v>
                </c:pt>
                <c:pt idx="116">
                  <c:v>0.62674418604651161</c:v>
                </c:pt>
                <c:pt idx="117">
                  <c:v>0.63446366782006924</c:v>
                </c:pt>
                <c:pt idx="118">
                  <c:v>0.56648284313725494</c:v>
                </c:pt>
                <c:pt idx="119">
                  <c:v>0.55179192499621954</c:v>
                </c:pt>
                <c:pt idx="120">
                  <c:v>0.60922094153589779</c:v>
                </c:pt>
                <c:pt idx="121">
                  <c:v>0.65924637681159415</c:v>
                </c:pt>
                <c:pt idx="122">
                  <c:v>0.57385167760307043</c:v>
                </c:pt>
                <c:pt idx="123">
                  <c:v>0.53</c:v>
                </c:pt>
                <c:pt idx="124" formatCode="0%">
                  <c:v>0.62</c:v>
                </c:pt>
                <c:pt idx="125" formatCode="0%">
                  <c:v>0.61</c:v>
                </c:pt>
                <c:pt idx="126" formatCode="0%">
                  <c:v>0.81</c:v>
                </c:pt>
                <c:pt idx="127" formatCode="0%">
                  <c:v>0.86</c:v>
                </c:pt>
                <c:pt idx="128" formatCode="0%">
                  <c:v>0.78</c:v>
                </c:pt>
                <c:pt idx="129" formatCode="0%">
                  <c:v>0.84</c:v>
                </c:pt>
                <c:pt idx="130" formatCode="0%">
                  <c:v>0.83</c:v>
                </c:pt>
                <c:pt idx="131" formatCode="0%">
                  <c:v>0.85</c:v>
                </c:pt>
                <c:pt idx="132" formatCode="0%">
                  <c:v>0.86</c:v>
                </c:pt>
                <c:pt idx="133" formatCode="0%">
                  <c:v>0.87</c:v>
                </c:pt>
                <c:pt idx="134" formatCode="0%">
                  <c:v>0.87</c:v>
                </c:pt>
                <c:pt idx="135" formatCode="0%">
                  <c:v>0.78</c:v>
                </c:pt>
                <c:pt idx="136" formatCode="0%">
                  <c:v>0.8</c:v>
                </c:pt>
                <c:pt idx="137" formatCode="0%">
                  <c:v>0.87</c:v>
                </c:pt>
                <c:pt idx="138" formatCode="0%">
                  <c:v>0.71</c:v>
                </c:pt>
                <c:pt idx="139" formatCode="0%">
                  <c:v>0.67</c:v>
                </c:pt>
                <c:pt idx="140" formatCode="0%">
                  <c:v>0.6</c:v>
                </c:pt>
                <c:pt idx="141" formatCode="0%">
                  <c:v>0.63</c:v>
                </c:pt>
                <c:pt idx="142" formatCode="0%">
                  <c:v>0.48</c:v>
                </c:pt>
                <c:pt idx="143" formatCode="0%">
                  <c:v>0.55000000000000004</c:v>
                </c:pt>
                <c:pt idx="144" formatCode="0%">
                  <c:v>0.55000000000000004</c:v>
                </c:pt>
                <c:pt idx="145" formatCode="0%">
                  <c:v>0.51</c:v>
                </c:pt>
                <c:pt idx="146" formatCode="0%">
                  <c:v>0.65</c:v>
                </c:pt>
                <c:pt idx="147" formatCode="0%">
                  <c:v>0.56999999999999995</c:v>
                </c:pt>
                <c:pt idx="148" formatCode="0%">
                  <c:v>0.56000000000000005</c:v>
                </c:pt>
                <c:pt idx="149" formatCode="0%">
                  <c:v>0.54</c:v>
                </c:pt>
                <c:pt idx="150" formatCode="0%">
                  <c:v>0.31</c:v>
                </c:pt>
                <c:pt idx="151" formatCode="0%">
                  <c:v>0.34</c:v>
                </c:pt>
                <c:pt idx="152" formatCode="0%">
                  <c:v>0.28999999999999998</c:v>
                </c:pt>
                <c:pt idx="153" formatCode="0%">
                  <c:v>0.36</c:v>
                </c:pt>
                <c:pt idx="154" formatCode="0%">
                  <c:v>0.37</c:v>
                </c:pt>
                <c:pt idx="155" formatCode="0%">
                  <c:v>0.19</c:v>
                </c:pt>
                <c:pt idx="156" formatCode="0%">
                  <c:v>0.36</c:v>
                </c:pt>
                <c:pt idx="158" formatCode="0%">
                  <c:v>0.31</c:v>
                </c:pt>
                <c:pt idx="159" formatCode="0%">
                  <c:v>0.48</c:v>
                </c:pt>
                <c:pt idx="160" formatCode="0%">
                  <c:v>0.53</c:v>
                </c:pt>
                <c:pt idx="161" formatCode="0%">
                  <c:v>0.48</c:v>
                </c:pt>
                <c:pt idx="162" formatCode="0%">
                  <c:v>0.44</c:v>
                </c:pt>
                <c:pt idx="163" formatCode="0%">
                  <c:v>0.43</c:v>
                </c:pt>
                <c:pt idx="164" formatCode="0%">
                  <c:v>0.43</c:v>
                </c:pt>
                <c:pt idx="165" formatCode="0%">
                  <c:v>0.49</c:v>
                </c:pt>
                <c:pt idx="166" formatCode="0%">
                  <c:v>0.45</c:v>
                </c:pt>
                <c:pt idx="167" formatCode="0%">
                  <c:v>0.86</c:v>
                </c:pt>
                <c:pt idx="168" formatCode="0%">
                  <c:v>0.84</c:v>
                </c:pt>
                <c:pt idx="169" formatCode="0%">
                  <c:v>0.74</c:v>
                </c:pt>
                <c:pt idx="170" formatCode="0%">
                  <c:v>0.74</c:v>
                </c:pt>
                <c:pt idx="171" formatCode="0%">
                  <c:v>0.73</c:v>
                </c:pt>
                <c:pt idx="172" formatCode="0%">
                  <c:v>0.7</c:v>
                </c:pt>
                <c:pt idx="173" formatCode="0%">
                  <c:v>0.69</c:v>
                </c:pt>
                <c:pt idx="174" formatCode="0%">
                  <c:v>0.68</c:v>
                </c:pt>
                <c:pt idx="175" formatCode="0%">
                  <c:v>0.68</c:v>
                </c:pt>
                <c:pt idx="176" formatCode="0%">
                  <c:v>0.41</c:v>
                </c:pt>
                <c:pt idx="177" formatCode="0%">
                  <c:v>0.4</c:v>
                </c:pt>
                <c:pt idx="178" formatCode="0%">
                  <c:v>0.38</c:v>
                </c:pt>
                <c:pt idx="179" formatCode="0%">
                  <c:v>0.31</c:v>
                </c:pt>
                <c:pt idx="180" formatCode="0%">
                  <c:v>0.22</c:v>
                </c:pt>
                <c:pt idx="181" formatCode="0%">
                  <c:v>0.25</c:v>
                </c:pt>
                <c:pt idx="182" formatCode="0%">
                  <c:v>0.28999999999999998</c:v>
                </c:pt>
                <c:pt idx="183" formatCode="0%">
                  <c:v>0.28999999999999998</c:v>
                </c:pt>
                <c:pt idx="184" formatCode="0%">
                  <c:v>0.28999999999999998</c:v>
                </c:pt>
                <c:pt idx="185" formatCode="0%">
                  <c:v>0.28000000000000003</c:v>
                </c:pt>
                <c:pt idx="186" formatCode="0%">
                  <c:v>0.43</c:v>
                </c:pt>
                <c:pt idx="187" formatCode="0%">
                  <c:v>0.47</c:v>
                </c:pt>
                <c:pt idx="188" formatCode="0%">
                  <c:v>0.47</c:v>
                </c:pt>
              </c:numCache>
            </c:numRef>
          </c:val>
          <c:smooth val="0"/>
          <c:extLst>
            <c:ext xmlns:c16="http://schemas.microsoft.com/office/drawing/2014/chart" uri="{C3380CC4-5D6E-409C-BE32-E72D297353CC}">
              <c16:uniqueId val="{00000002-99A0-084A-A39B-505CF3D16A1C}"/>
            </c:ext>
          </c:extLst>
        </c:ser>
        <c:dLbls>
          <c:showLegendKey val="0"/>
          <c:showVal val="0"/>
          <c:showCatName val="0"/>
          <c:showSerName val="0"/>
          <c:showPercent val="0"/>
          <c:showBubbleSize val="0"/>
        </c:dLbls>
        <c:smooth val="0"/>
        <c:axId val="380324240"/>
        <c:axId val="1"/>
      </c:lineChart>
      <c:dateAx>
        <c:axId val="380324240"/>
        <c:scaling>
          <c:orientation val="minMax"/>
        </c:scaling>
        <c:delete val="0"/>
        <c:axPos val="b"/>
        <c:numFmt formatCode="[$-409]mmm\-yy;@" sourceLinked="0"/>
        <c:majorTickMark val="out"/>
        <c:minorTickMark val="none"/>
        <c:tickLblPos val="nextTo"/>
        <c:spPr>
          <a:ln w="3175">
            <a:solidFill>
              <a:srgbClr val="000000"/>
            </a:solidFill>
            <a:prstDash val="solid"/>
          </a:ln>
        </c:spPr>
        <c:txPr>
          <a:bodyPr rot="-42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6"/>
        <c:majorTimeUnit val="months"/>
        <c:minorUnit val="3"/>
        <c:minorTimeUnit val="months"/>
      </c:dateAx>
      <c:valAx>
        <c:axId val="1"/>
        <c:scaling>
          <c:orientation val="minMax"/>
          <c:max val="1"/>
        </c:scaling>
        <c:delete val="0"/>
        <c:axPos val="l"/>
        <c:majorGridlines>
          <c:spPr>
            <a:ln w="3175">
              <a:solidFill>
                <a:schemeClr val="bg1">
                  <a:lumMod val="6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Load (%)</a:t>
                </a:r>
              </a:p>
            </c:rich>
          </c:tx>
          <c:layout>
            <c:manualLayout>
              <c:xMode val="edge"/>
              <c:yMode val="edge"/>
              <c:x val="1.2208657047724751E-2"/>
              <c:y val="0.4812399104776387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80324240"/>
        <c:crosses val="autoZero"/>
        <c:crossBetween val="between"/>
      </c:valAx>
      <c:spPr>
        <a:solidFill>
          <a:schemeClr val="bg1"/>
        </a:solidFill>
        <a:ln w="12700">
          <a:solidFill>
            <a:schemeClr val="tx1"/>
          </a:solidFill>
          <a:prstDash val="solid"/>
        </a:ln>
      </c:spPr>
    </c:plotArea>
    <c:legend>
      <c:legendPos val="r"/>
      <c:layout>
        <c:manualLayout>
          <c:xMode val="edge"/>
          <c:yMode val="edge"/>
          <c:x val="0.33629629629629632"/>
          <c:y val="0.95851528384279472"/>
          <c:w val="0.33333333333333331"/>
          <c:h val="2.6200873362445413E-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Load Served by Competitive Electric Providers 
Central Maine Power Company 
July 2000-April 2016
Presented by the Maine PUC</a:t>
            </a:r>
          </a:p>
        </c:rich>
      </c:tx>
      <c:layout>
        <c:manualLayout>
          <c:xMode val="edge"/>
          <c:yMode val="edge"/>
          <c:x val="0.29966703662597116"/>
          <c:y val="1.9575842708695782E-2"/>
        </c:manualLayout>
      </c:layout>
      <c:overlay val="0"/>
      <c:spPr>
        <a:noFill/>
        <a:ln w="25400">
          <a:noFill/>
        </a:ln>
      </c:spPr>
    </c:title>
    <c:autoTitleDeleted val="0"/>
    <c:plotArea>
      <c:layout>
        <c:manualLayout>
          <c:layoutTarget val="inner"/>
          <c:xMode val="edge"/>
          <c:yMode val="edge"/>
          <c:x val="8.7680355160932297E-2"/>
          <c:y val="0.22512234910277323"/>
          <c:w val="0.86705640128317307"/>
          <c:h val="0.63458401305057099"/>
        </c:manualLayout>
      </c:layout>
      <c:lineChart>
        <c:grouping val="standard"/>
        <c:varyColors val="0"/>
        <c:ser>
          <c:idx val="0"/>
          <c:order val="0"/>
          <c:tx>
            <c:strRef>
              <c:f>Load!$N$6</c:f>
              <c:strCache>
                <c:ptCount val="1"/>
              </c:strCache>
            </c:strRef>
          </c:tx>
          <c:spPr>
            <a:ln w="12700">
              <a:solidFill>
                <a:schemeClr val="accent4">
                  <a:lumMod val="50000"/>
                </a:schemeClr>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Load!$N$30:$N$235</c:f>
              <c:numCache>
                <c:formatCode>0.0%</c:formatCode>
                <c:ptCount val="206"/>
                <c:pt idx="0">
                  <c:v>0.19569334594666621</c:v>
                </c:pt>
                <c:pt idx="1">
                  <c:v>0.19820591347369471</c:v>
                </c:pt>
                <c:pt idx="2">
                  <c:v>0.19694220969135198</c:v>
                </c:pt>
                <c:pt idx="3">
                  <c:v>0.19184937251291823</c:v>
                </c:pt>
                <c:pt idx="4">
                  <c:v>0.19008642502374334</c:v>
                </c:pt>
                <c:pt idx="5">
                  <c:v>0.15470141114723368</c:v>
                </c:pt>
                <c:pt idx="6">
                  <c:v>0.19939045650263479</c:v>
                </c:pt>
                <c:pt idx="7">
                  <c:v>0.20934312999443361</c:v>
                </c:pt>
                <c:pt idx="8">
                  <c:v>0.21483176847240212</c:v>
                </c:pt>
                <c:pt idx="9">
                  <c:v>0.269803299870359</c:v>
                </c:pt>
                <c:pt idx="10">
                  <c:v>0.20836761809520685</c:v>
                </c:pt>
                <c:pt idx="11">
                  <c:v>0.28376113863141667</c:v>
                </c:pt>
                <c:pt idx="12">
                  <c:v>0.21604522888871475</c:v>
                </c:pt>
                <c:pt idx="13">
                  <c:v>0.23397559373361057</c:v>
                </c:pt>
                <c:pt idx="14">
                  <c:v>0.22051289227848597</c:v>
                </c:pt>
                <c:pt idx="15">
                  <c:v>0.2176246668994487</c:v>
                </c:pt>
                <c:pt idx="16">
                  <c:v>0.21649455664130793</c:v>
                </c:pt>
                <c:pt idx="17">
                  <c:v>0.21664626248953719</c:v>
                </c:pt>
                <c:pt idx="18">
                  <c:v>0.22277335483343697</c:v>
                </c:pt>
                <c:pt idx="19">
                  <c:v>0.19709436528076457</c:v>
                </c:pt>
                <c:pt idx="20">
                  <c:v>0.23357357274665932</c:v>
                </c:pt>
                <c:pt idx="21">
                  <c:v>0.23953530872712564</c:v>
                </c:pt>
                <c:pt idx="22">
                  <c:v>0.24320584774428433</c:v>
                </c:pt>
                <c:pt idx="23">
                  <c:v>0.24454440100421063</c:v>
                </c:pt>
                <c:pt idx="24">
                  <c:v>0.24880677533158108</c:v>
                </c:pt>
                <c:pt idx="25">
                  <c:v>0.25296124399872472</c:v>
                </c:pt>
                <c:pt idx="26">
                  <c:v>0.24985903166794493</c:v>
                </c:pt>
                <c:pt idx="27">
                  <c:v>0.24767028465425209</c:v>
                </c:pt>
                <c:pt idx="28">
                  <c:v>0.27577634648130855</c:v>
                </c:pt>
                <c:pt idx="29">
                  <c:v>0.26247787137947315</c:v>
                </c:pt>
                <c:pt idx="30">
                  <c:v>0.27560363215778688</c:v>
                </c:pt>
                <c:pt idx="31">
                  <c:v>0.2947623154554293</c:v>
                </c:pt>
                <c:pt idx="32">
                  <c:v>0.30556968952279856</c:v>
                </c:pt>
                <c:pt idx="33">
                  <c:v>0.31360214499329692</c:v>
                </c:pt>
                <c:pt idx="34">
                  <c:v>0.3228441549577219</c:v>
                </c:pt>
                <c:pt idx="35">
                  <c:v>0.33212449626882445</c:v>
                </c:pt>
                <c:pt idx="36">
                  <c:v>0.33870146200890816</c:v>
                </c:pt>
                <c:pt idx="37">
                  <c:v>0.34194279877158323</c:v>
                </c:pt>
                <c:pt idx="38">
                  <c:v>0.33918387781841763</c:v>
                </c:pt>
                <c:pt idx="39">
                  <c:v>0.33268419380272979</c:v>
                </c:pt>
                <c:pt idx="40">
                  <c:v>0.32832994673755173</c:v>
                </c:pt>
                <c:pt idx="41">
                  <c:v>0.33088110187086039</c:v>
                </c:pt>
                <c:pt idx="42">
                  <c:v>0.34760259394712051</c:v>
                </c:pt>
                <c:pt idx="43">
                  <c:v>0.28014226842901901</c:v>
                </c:pt>
                <c:pt idx="44">
                  <c:v>0.37499302389993255</c:v>
                </c:pt>
                <c:pt idx="45">
                  <c:v>0.37805518590772691</c:v>
                </c:pt>
                <c:pt idx="46">
                  <c:v>0.37734191596967465</c:v>
                </c:pt>
                <c:pt idx="47">
                  <c:v>0.37496136200690888</c:v>
                </c:pt>
                <c:pt idx="48">
                  <c:v>0.38515562178612622</c:v>
                </c:pt>
                <c:pt idx="49">
                  <c:v>0.40006194861423333</c:v>
                </c:pt>
                <c:pt idx="50">
                  <c:v>0.40053758834975955</c:v>
                </c:pt>
                <c:pt idx="51">
                  <c:v>0.39382494453229622</c:v>
                </c:pt>
                <c:pt idx="52">
                  <c:v>0.36380925841182427</c:v>
                </c:pt>
                <c:pt idx="53">
                  <c:v>0.35239247240825772</c:v>
                </c:pt>
                <c:pt idx="54">
                  <c:v>0.35783396370245818</c:v>
                </c:pt>
                <c:pt idx="55">
                  <c:v>0.3533521483367198</c:v>
                </c:pt>
                <c:pt idx="56">
                  <c:v>0.33859274075298745</c:v>
                </c:pt>
                <c:pt idx="57">
                  <c:v>0.31886312320350951</c:v>
                </c:pt>
                <c:pt idx="58">
                  <c:v>0.30403251159746614</c:v>
                </c:pt>
                <c:pt idx="59">
                  <c:v>0.29497543635885004</c:v>
                </c:pt>
                <c:pt idx="60">
                  <c:v>0.27860511878294481</c:v>
                </c:pt>
                <c:pt idx="61">
                  <c:v>0.26412870803069871</c:v>
                </c:pt>
                <c:pt idx="62">
                  <c:v>0.24922627125689836</c:v>
                </c:pt>
                <c:pt idx="63">
                  <c:v>0.2159630854261734</c:v>
                </c:pt>
                <c:pt idx="64">
                  <c:v>0.16554963980287132</c:v>
                </c:pt>
                <c:pt idx="65">
                  <c:v>8.5011896436478912E-2</c:v>
                </c:pt>
                <c:pt idx="66">
                  <c:v>6.7179559171118272E-2</c:v>
                </c:pt>
                <c:pt idx="67">
                  <c:v>6.6653254207372725E-2</c:v>
                </c:pt>
                <c:pt idx="68">
                  <c:v>5.0000385167690689E-2</c:v>
                </c:pt>
                <c:pt idx="69">
                  <c:v>4.6775948844110113E-2</c:v>
                </c:pt>
                <c:pt idx="70">
                  <c:v>4.373036680363631E-2</c:v>
                </c:pt>
                <c:pt idx="71">
                  <c:v>3.8858024748781812E-2</c:v>
                </c:pt>
                <c:pt idx="72">
                  <c:v>3.7751345326449658E-2</c:v>
                </c:pt>
                <c:pt idx="73">
                  <c:v>4.1877253013298026E-2</c:v>
                </c:pt>
                <c:pt idx="74">
                  <c:v>4.0747895003012548E-2</c:v>
                </c:pt>
                <c:pt idx="75">
                  <c:v>4.0047612770436614E-2</c:v>
                </c:pt>
                <c:pt idx="76">
                  <c:v>3.8716547857817085E-2</c:v>
                </c:pt>
                <c:pt idx="77">
                  <c:v>3.9636226521359279E-2</c:v>
                </c:pt>
                <c:pt idx="78">
                  <c:v>3.6083667509186138E-2</c:v>
                </c:pt>
                <c:pt idx="79">
                  <c:v>3.7825928049017736E-2</c:v>
                </c:pt>
                <c:pt idx="80">
                  <c:v>3.8632131948727194E-2</c:v>
                </c:pt>
                <c:pt idx="81">
                  <c:v>3.8771897312215586E-2</c:v>
                </c:pt>
                <c:pt idx="82">
                  <c:v>3.7891749212277934E-2</c:v>
                </c:pt>
                <c:pt idx="83">
                  <c:v>3.3946411271104607E-2</c:v>
                </c:pt>
                <c:pt idx="84">
                  <c:v>3.1919074898896733E-2</c:v>
                </c:pt>
                <c:pt idx="85">
                  <c:v>3.3784229168738328E-2</c:v>
                </c:pt>
                <c:pt idx="86">
                  <c:v>3.228904041898438E-2</c:v>
                </c:pt>
                <c:pt idx="87">
                  <c:v>3.107757778104191E-2</c:v>
                </c:pt>
                <c:pt idx="88">
                  <c:v>2.966069899074078E-2</c:v>
                </c:pt>
                <c:pt idx="89">
                  <c:v>2.8808789451885114E-2</c:v>
                </c:pt>
                <c:pt idx="90">
                  <c:v>2.6374880220112033E-2</c:v>
                </c:pt>
                <c:pt idx="91">
                  <c:v>2.1819695717336107E-2</c:v>
                </c:pt>
                <c:pt idx="92">
                  <c:v>2.0533113771176309E-2</c:v>
                </c:pt>
                <c:pt idx="93">
                  <c:v>2.0013250386895401E-2</c:v>
                </c:pt>
                <c:pt idx="94">
                  <c:v>1.7120876954517261E-2</c:v>
                </c:pt>
                <c:pt idx="95">
                  <c:v>1.5676005430802054E-2</c:v>
                </c:pt>
                <c:pt idx="96">
                  <c:v>1.5115301297027438E-2</c:v>
                </c:pt>
                <c:pt idx="97">
                  <c:v>1.5194472680746956E-2</c:v>
                </c:pt>
                <c:pt idx="98">
                  <c:v>1.3229571984435798E-2</c:v>
                </c:pt>
                <c:pt idx="99">
                  <c:v>1.2796061673336249E-2</c:v>
                </c:pt>
                <c:pt idx="100">
                  <c:v>1.1684952279011685E-2</c:v>
                </c:pt>
                <c:pt idx="101">
                  <c:v>1.1215864759427829E-2</c:v>
                </c:pt>
                <c:pt idx="102">
                  <c:v>1.1060600913835629E-2</c:v>
                </c:pt>
                <c:pt idx="103">
                  <c:v>1.1029919596740606E-2</c:v>
                </c:pt>
                <c:pt idx="104">
                  <c:v>1.1242864609471223E-2</c:v>
                </c:pt>
                <c:pt idx="105">
                  <c:v>9.6494592373226606E-3</c:v>
                </c:pt>
                <c:pt idx="106">
                  <c:v>8.5664335664335668E-3</c:v>
                </c:pt>
                <c:pt idx="107">
                  <c:v>8.6302454473475843E-3</c:v>
                </c:pt>
                <c:pt idx="108">
                  <c:v>9.1702279202279195E-3</c:v>
                </c:pt>
                <c:pt idx="109">
                  <c:v>8.779806445176095E-3</c:v>
                </c:pt>
                <c:pt idx="110">
                  <c:v>8.9922783696608343E-3</c:v>
                </c:pt>
                <c:pt idx="111">
                  <c:v>9.1727678195741812E-3</c:v>
                </c:pt>
                <c:pt idx="112">
                  <c:v>1.0876519513755598E-2</c:v>
                </c:pt>
                <c:pt idx="113">
                  <c:v>1.0111524163568773E-2</c:v>
                </c:pt>
                <c:pt idx="114">
                  <c:v>1.006893346758578E-2</c:v>
                </c:pt>
                <c:pt idx="115">
                  <c:v>1.0271398747390397E-2</c:v>
                </c:pt>
                <c:pt idx="116">
                  <c:v>9.9941781486512712E-3</c:v>
                </c:pt>
                <c:pt idx="117">
                  <c:v>9.425244871557938E-3</c:v>
                </c:pt>
                <c:pt idx="118">
                  <c:v>8.5376360930524003E-3</c:v>
                </c:pt>
                <c:pt idx="119">
                  <c:v>8.5051174859449331E-3</c:v>
                </c:pt>
                <c:pt idx="120">
                  <c:v>9.1488318902140167E-3</c:v>
                </c:pt>
                <c:pt idx="121">
                  <c:v>9.4103147823166883E-3</c:v>
                </c:pt>
                <c:pt idx="122">
                  <c:v>9.3931993236896494E-3</c:v>
                </c:pt>
                <c:pt idx="123">
                  <c:v>9.108596134505955E-3</c:v>
                </c:pt>
                <c:pt idx="124">
                  <c:v>9.3432858469193417E-3</c:v>
                </c:pt>
                <c:pt idx="125">
                  <c:v>7.9627071570264555E-3</c:v>
                </c:pt>
                <c:pt idx="126">
                  <c:v>3.5999999999999999E-3</c:v>
                </c:pt>
                <c:pt idx="127">
                  <c:v>3.5000000000000001E-3</c:v>
                </c:pt>
                <c:pt idx="128">
                  <c:v>3.5000000000000001E-3</c:v>
                </c:pt>
                <c:pt idx="129">
                  <c:v>3.5000000000000001E-3</c:v>
                </c:pt>
                <c:pt idx="130">
                  <c:v>3.3999999999999998E-3</c:v>
                </c:pt>
                <c:pt idx="131">
                  <c:v>3.3999999999999998E-3</c:v>
                </c:pt>
                <c:pt idx="132">
                  <c:v>3.3E-3</c:v>
                </c:pt>
                <c:pt idx="133">
                  <c:v>3.3E-3</c:v>
                </c:pt>
                <c:pt idx="134">
                  <c:v>3.2000000000000002E-3</c:v>
                </c:pt>
                <c:pt idx="135">
                  <c:v>3.2000000000000002E-3</c:v>
                </c:pt>
                <c:pt idx="136">
                  <c:v>3.2000000000000002E-3</c:v>
                </c:pt>
                <c:pt idx="137">
                  <c:v>3.2000000000000002E-3</c:v>
                </c:pt>
                <c:pt idx="138">
                  <c:v>3.2000000000000002E-3</c:v>
                </c:pt>
                <c:pt idx="139">
                  <c:v>3.0000000000000001E-3</c:v>
                </c:pt>
                <c:pt idx="140">
                  <c:v>3.0000000000000001E-3</c:v>
                </c:pt>
                <c:pt idx="141">
                  <c:v>3.0000000000000001E-3</c:v>
                </c:pt>
                <c:pt idx="142">
                  <c:v>2E-3</c:v>
                </c:pt>
                <c:pt idx="143">
                  <c:v>2E-3</c:v>
                </c:pt>
                <c:pt idx="144">
                  <c:v>2E-3</c:v>
                </c:pt>
                <c:pt idx="145">
                  <c:v>2E-3</c:v>
                </c:pt>
                <c:pt idx="146">
                  <c:v>2E-3</c:v>
                </c:pt>
                <c:pt idx="147">
                  <c:v>2E-3</c:v>
                </c:pt>
                <c:pt idx="148">
                  <c:v>2E-3</c:v>
                </c:pt>
                <c:pt idx="149">
                  <c:v>3.0000000000000001E-3</c:v>
                </c:pt>
                <c:pt idx="150">
                  <c:v>3.0000000000000001E-3</c:v>
                </c:pt>
                <c:pt idx="151">
                  <c:v>3.0000000000000001E-3</c:v>
                </c:pt>
                <c:pt idx="152">
                  <c:v>2E-3</c:v>
                </c:pt>
                <c:pt idx="153">
                  <c:v>2E-3</c:v>
                </c:pt>
                <c:pt idx="154">
                  <c:v>2E-3</c:v>
                </c:pt>
                <c:pt idx="155">
                  <c:v>2E-3</c:v>
                </c:pt>
                <c:pt idx="156">
                  <c:v>2E-3</c:v>
                </c:pt>
                <c:pt idx="157">
                  <c:v>2E-3</c:v>
                </c:pt>
                <c:pt idx="158">
                  <c:v>2E-3</c:v>
                </c:pt>
                <c:pt idx="159">
                  <c:v>2E-3</c:v>
                </c:pt>
                <c:pt idx="160">
                  <c:v>2E-3</c:v>
                </c:pt>
                <c:pt idx="161">
                  <c:v>2E-3</c:v>
                </c:pt>
                <c:pt idx="162">
                  <c:v>2E-3</c:v>
                </c:pt>
                <c:pt idx="163">
                  <c:v>2E-3</c:v>
                </c:pt>
                <c:pt idx="164">
                  <c:v>2E-3</c:v>
                </c:pt>
                <c:pt idx="165">
                  <c:v>2E-3</c:v>
                </c:pt>
                <c:pt idx="166">
                  <c:v>1E-3</c:v>
                </c:pt>
                <c:pt idx="167">
                  <c:v>1E-3</c:v>
                </c:pt>
                <c:pt idx="168">
                  <c:v>1E-3</c:v>
                </c:pt>
                <c:pt idx="169">
                  <c:v>1E-3</c:v>
                </c:pt>
                <c:pt idx="170">
                  <c:v>1E-3</c:v>
                </c:pt>
                <c:pt idx="171">
                  <c:v>1E-3</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numCache>
            </c:numRef>
          </c:val>
          <c:smooth val="0"/>
          <c:extLst>
            <c:ext xmlns:c16="http://schemas.microsoft.com/office/drawing/2014/chart" uri="{C3380CC4-5D6E-409C-BE32-E72D297353CC}">
              <c16:uniqueId val="{00000000-2E61-C840-8979-7FB14E5E1DFE}"/>
            </c:ext>
          </c:extLst>
        </c:ser>
        <c:ser>
          <c:idx val="1"/>
          <c:order val="1"/>
          <c:tx>
            <c:strRef>
              <c:f>Load!$Q$6</c:f>
              <c:strCache>
                <c:ptCount val="1"/>
              </c:strCache>
            </c:strRef>
          </c:tx>
          <c:spPr>
            <a:ln w="12700">
              <a:solidFill>
                <a:srgbClr val="FF00FF"/>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Load!$Q$30:$Q$235</c:f>
              <c:numCache>
                <c:formatCode>0.0%</c:formatCode>
                <c:ptCount val="206"/>
                <c:pt idx="0">
                  <c:v>0.61972564916951389</c:v>
                </c:pt>
                <c:pt idx="1">
                  <c:v>0.63904190500251001</c:v>
                </c:pt>
                <c:pt idx="2">
                  <c:v>0.65253428776420963</c:v>
                </c:pt>
                <c:pt idx="3">
                  <c:v>0.65884045670314828</c:v>
                </c:pt>
                <c:pt idx="4">
                  <c:v>0.67951327245220561</c:v>
                </c:pt>
                <c:pt idx="5">
                  <c:v>0.61407891557336791</c:v>
                </c:pt>
                <c:pt idx="6">
                  <c:v>0.6533650357592824</c:v>
                </c:pt>
                <c:pt idx="7">
                  <c:v>0.67289424941689091</c:v>
                </c:pt>
                <c:pt idx="8">
                  <c:v>0.67796300439851553</c:v>
                </c:pt>
                <c:pt idx="9">
                  <c:v>0.66770641438777523</c:v>
                </c:pt>
                <c:pt idx="10">
                  <c:v>0.65102713374117005</c:v>
                </c:pt>
                <c:pt idx="11">
                  <c:v>0.64020288091859556</c:v>
                </c:pt>
                <c:pt idx="12">
                  <c:v>0.64979990370446372</c:v>
                </c:pt>
                <c:pt idx="13">
                  <c:v>0.66563153925269636</c:v>
                </c:pt>
                <c:pt idx="14">
                  <c:v>0.67532329940498514</c:v>
                </c:pt>
                <c:pt idx="15">
                  <c:v>0.67365661230012763</c:v>
                </c:pt>
                <c:pt idx="16">
                  <c:v>0.67364831575135287</c:v>
                </c:pt>
                <c:pt idx="17">
                  <c:v>0.67040275529042437</c:v>
                </c:pt>
                <c:pt idx="18">
                  <c:v>0.66845386977563925</c:v>
                </c:pt>
                <c:pt idx="19">
                  <c:v>0.66885095589658616</c:v>
                </c:pt>
                <c:pt idx="20">
                  <c:v>0.6619728575198921</c:v>
                </c:pt>
                <c:pt idx="21">
                  <c:v>0.65344413645925425</c:v>
                </c:pt>
                <c:pt idx="22">
                  <c:v>0.63759385980895489</c:v>
                </c:pt>
                <c:pt idx="23">
                  <c:v>0.6327192773742355</c:v>
                </c:pt>
                <c:pt idx="24">
                  <c:v>0.63807309066847817</c:v>
                </c:pt>
                <c:pt idx="25">
                  <c:v>0.65535812451175834</c:v>
                </c:pt>
                <c:pt idx="26">
                  <c:v>0.65578798721280762</c:v>
                </c:pt>
                <c:pt idx="27">
                  <c:v>0.6587482505893687</c:v>
                </c:pt>
                <c:pt idx="28">
                  <c:v>0.64631489138257192</c:v>
                </c:pt>
                <c:pt idx="29">
                  <c:v>0.6448346076550715</c:v>
                </c:pt>
                <c:pt idx="30">
                  <c:v>0.63609644947752741</c:v>
                </c:pt>
                <c:pt idx="31">
                  <c:v>0.62990683686020454</c:v>
                </c:pt>
                <c:pt idx="32">
                  <c:v>0.61837567185075348</c:v>
                </c:pt>
                <c:pt idx="33">
                  <c:v>0.61288483466362598</c:v>
                </c:pt>
                <c:pt idx="34">
                  <c:v>0.60026728757497871</c:v>
                </c:pt>
                <c:pt idx="35">
                  <c:v>0.58928343633976499</c:v>
                </c:pt>
                <c:pt idx="36">
                  <c:v>0.59702815659488506</c:v>
                </c:pt>
                <c:pt idx="37">
                  <c:v>0.61375985788376797</c:v>
                </c:pt>
                <c:pt idx="38">
                  <c:v>0.62250506028961183</c:v>
                </c:pt>
                <c:pt idx="39">
                  <c:v>0.62338179812616201</c:v>
                </c:pt>
                <c:pt idx="40">
                  <c:v>0.61993797805692419</c:v>
                </c:pt>
                <c:pt idx="41">
                  <c:v>0.61184594658144409</c:v>
                </c:pt>
                <c:pt idx="42">
                  <c:v>0.62183288161041883</c:v>
                </c:pt>
                <c:pt idx="43">
                  <c:v>0.62441807776589131</c:v>
                </c:pt>
                <c:pt idx="44">
                  <c:v>0.63222544274983483</c:v>
                </c:pt>
                <c:pt idx="45">
                  <c:v>0.62742232523991059</c:v>
                </c:pt>
                <c:pt idx="46">
                  <c:v>0.60958051908790045</c:v>
                </c:pt>
                <c:pt idx="47">
                  <c:v>0.60385289586106172</c:v>
                </c:pt>
                <c:pt idx="48">
                  <c:v>0.60812576789326245</c:v>
                </c:pt>
                <c:pt idx="49">
                  <c:v>0.62489734626909255</c:v>
                </c:pt>
                <c:pt idx="50">
                  <c:v>0.63341227472152428</c:v>
                </c:pt>
                <c:pt idx="51">
                  <c:v>0.63763188247088665</c:v>
                </c:pt>
                <c:pt idx="52">
                  <c:v>0.63989724522092339</c:v>
                </c:pt>
                <c:pt idx="53">
                  <c:v>0.64055706492204234</c:v>
                </c:pt>
                <c:pt idx="54">
                  <c:v>0.63709929624568662</c:v>
                </c:pt>
                <c:pt idx="55">
                  <c:v>0.65125789753522256</c:v>
                </c:pt>
                <c:pt idx="56">
                  <c:v>0.65589788735528998</c:v>
                </c:pt>
                <c:pt idx="57">
                  <c:v>0.63938327131239181</c:v>
                </c:pt>
                <c:pt idx="58">
                  <c:v>0.62104778598751675</c:v>
                </c:pt>
                <c:pt idx="59">
                  <c:v>0.60920278081675183</c:v>
                </c:pt>
                <c:pt idx="60">
                  <c:v>0.60860491173438103</c:v>
                </c:pt>
                <c:pt idx="61">
                  <c:v>0.61701219981431799</c:v>
                </c:pt>
                <c:pt idx="62">
                  <c:v>0.61875628502355351</c:v>
                </c:pt>
                <c:pt idx="63">
                  <c:v>0.60265316752688247</c:v>
                </c:pt>
                <c:pt idx="64">
                  <c:v>0.5914747923274184</c:v>
                </c:pt>
                <c:pt idx="65">
                  <c:v>0.57404926243470278</c:v>
                </c:pt>
                <c:pt idx="66">
                  <c:v>0.56089331510994311</c:v>
                </c:pt>
                <c:pt idx="67">
                  <c:v>0.56149625302807393</c:v>
                </c:pt>
                <c:pt idx="68">
                  <c:v>0.55433017794348116</c:v>
                </c:pt>
                <c:pt idx="69">
                  <c:v>0.54407163402356806</c:v>
                </c:pt>
                <c:pt idx="70">
                  <c:v>0.53144785652023474</c:v>
                </c:pt>
                <c:pt idx="71">
                  <c:v>0.5243742257022288</c:v>
                </c:pt>
                <c:pt idx="72">
                  <c:v>0.53597551612829974</c:v>
                </c:pt>
                <c:pt idx="73">
                  <c:v>0.55057095248702836</c:v>
                </c:pt>
                <c:pt idx="74">
                  <c:v>0.56000442198108136</c:v>
                </c:pt>
                <c:pt idx="75">
                  <c:v>0.56506480853083008</c:v>
                </c:pt>
                <c:pt idx="76">
                  <c:v>0.56021120134539304</c:v>
                </c:pt>
                <c:pt idx="77">
                  <c:v>0.56470267720382861</c:v>
                </c:pt>
                <c:pt idx="78">
                  <c:v>0.55159688429793052</c:v>
                </c:pt>
                <c:pt idx="79">
                  <c:v>0.55428335672676021</c:v>
                </c:pt>
                <c:pt idx="80">
                  <c:v>0.55199333641913795</c:v>
                </c:pt>
                <c:pt idx="81">
                  <c:v>0.54531228076337646</c:v>
                </c:pt>
                <c:pt idx="82">
                  <c:v>0.52773527221212391</c:v>
                </c:pt>
                <c:pt idx="83">
                  <c:v>0.51594926106552674</c:v>
                </c:pt>
                <c:pt idx="84">
                  <c:v>0.51943743644250828</c:v>
                </c:pt>
                <c:pt idx="85">
                  <c:v>0.5316395260021215</c:v>
                </c:pt>
                <c:pt idx="86">
                  <c:v>0.5373310136910564</c:v>
                </c:pt>
                <c:pt idx="87">
                  <c:v>0.53457253768929747</c:v>
                </c:pt>
                <c:pt idx="88">
                  <c:v>0.52980101895966414</c:v>
                </c:pt>
                <c:pt idx="89">
                  <c:v>0.52622215252287408</c:v>
                </c:pt>
                <c:pt idx="90">
                  <c:v>0.52553603841163743</c:v>
                </c:pt>
                <c:pt idx="91">
                  <c:v>0.52650961585079781</c:v>
                </c:pt>
                <c:pt idx="92">
                  <c:v>0.51632458013537508</c:v>
                </c:pt>
                <c:pt idx="93">
                  <c:v>0.49533746222494057</c:v>
                </c:pt>
                <c:pt idx="94">
                  <c:v>0.47146099775320327</c:v>
                </c:pt>
                <c:pt idx="95">
                  <c:v>0.45947189088169121</c:v>
                </c:pt>
                <c:pt idx="96">
                  <c:v>0.46775440672529439</c:v>
                </c:pt>
                <c:pt idx="97">
                  <c:v>0.4726162036825946</c:v>
                </c:pt>
                <c:pt idx="98">
                  <c:v>0.47222759821946969</c:v>
                </c:pt>
                <c:pt idx="99">
                  <c:v>0.4809917355371901</c:v>
                </c:pt>
                <c:pt idx="100">
                  <c:v>0.47399845916795069</c:v>
                </c:pt>
                <c:pt idx="101">
                  <c:v>0.45808966861598438</c:v>
                </c:pt>
                <c:pt idx="102">
                  <c:v>0.44767371395814337</c:v>
                </c:pt>
                <c:pt idx="103">
                  <c:v>0.43149632433707458</c:v>
                </c:pt>
                <c:pt idx="104">
                  <c:v>0.41624570891266638</c:v>
                </c:pt>
                <c:pt idx="105">
                  <c:v>0.37765577629927966</c:v>
                </c:pt>
                <c:pt idx="106">
                  <c:v>0.36538134873449973</c:v>
                </c:pt>
                <c:pt idx="107">
                  <c:v>0.37099725526075022</c:v>
                </c:pt>
                <c:pt idx="108">
                  <c:v>0.39250486677083918</c:v>
                </c:pt>
                <c:pt idx="109">
                  <c:v>0.39853162650602408</c:v>
                </c:pt>
                <c:pt idx="110">
                  <c:v>0.416650226869205</c:v>
                </c:pt>
                <c:pt idx="111">
                  <c:v>0.4169314146888432</c:v>
                </c:pt>
                <c:pt idx="112">
                  <c:v>0.41954419889502764</c:v>
                </c:pt>
                <c:pt idx="113">
                  <c:v>0.42182227221597302</c:v>
                </c:pt>
                <c:pt idx="114">
                  <c:v>0.42163435404964666</c:v>
                </c:pt>
                <c:pt idx="115">
                  <c:v>0.42149191444966094</c:v>
                </c:pt>
                <c:pt idx="116">
                  <c:v>0.4093293368302735</c:v>
                </c:pt>
                <c:pt idx="117">
                  <c:v>0.39311382249707505</c:v>
                </c:pt>
                <c:pt idx="118">
                  <c:v>0.38437203416640303</c:v>
                </c:pt>
                <c:pt idx="119">
                  <c:v>0.39485948312385255</c:v>
                </c:pt>
                <c:pt idx="120">
                  <c:v>0.41516079632465541</c:v>
                </c:pt>
                <c:pt idx="121">
                  <c:v>0.43199285075960681</c:v>
                </c:pt>
                <c:pt idx="122">
                  <c:v>0.43888998228695136</c:v>
                </c:pt>
                <c:pt idx="123">
                  <c:v>0.43945024147213518</c:v>
                </c:pt>
                <c:pt idx="124">
                  <c:v>0.44438679053250552</c:v>
                </c:pt>
                <c:pt idx="125">
                  <c:v>0.4410063484200204</c:v>
                </c:pt>
                <c:pt idx="126">
                  <c:v>0.436</c:v>
                </c:pt>
                <c:pt idx="127">
                  <c:v>0.41099999999999998</c:v>
                </c:pt>
                <c:pt idx="128">
                  <c:v>0.39200000000000002</c:v>
                </c:pt>
                <c:pt idx="129">
                  <c:v>0.371</c:v>
                </c:pt>
                <c:pt idx="130">
                  <c:v>0.35799999999999998</c:v>
                </c:pt>
                <c:pt idx="131">
                  <c:v>0.36499999999999999</c:v>
                </c:pt>
                <c:pt idx="132">
                  <c:v>0.375</c:v>
                </c:pt>
                <c:pt idx="133">
                  <c:v>0.374</c:v>
                </c:pt>
                <c:pt idx="134">
                  <c:v>0.372</c:v>
                </c:pt>
                <c:pt idx="135">
                  <c:v>0.35899999999999999</c:v>
                </c:pt>
                <c:pt idx="136">
                  <c:v>0.34499999999999997</c:v>
                </c:pt>
                <c:pt idx="137">
                  <c:v>0.34</c:v>
                </c:pt>
                <c:pt idx="138">
                  <c:v>0.34499999999999997</c:v>
                </c:pt>
                <c:pt idx="139">
                  <c:v>0.34</c:v>
                </c:pt>
                <c:pt idx="140">
                  <c:v>0.33300000000000002</c:v>
                </c:pt>
                <c:pt idx="141">
                  <c:v>0.32900000000000001</c:v>
                </c:pt>
                <c:pt idx="142">
                  <c:v>0.32900000000000001</c:v>
                </c:pt>
                <c:pt idx="143">
                  <c:v>0.33700000000000002</c:v>
                </c:pt>
                <c:pt idx="144">
                  <c:v>0.34899999999999998</c:v>
                </c:pt>
                <c:pt idx="145">
                  <c:v>0.36</c:v>
                </c:pt>
                <c:pt idx="146">
                  <c:v>0.36599999999999999</c:v>
                </c:pt>
                <c:pt idx="147">
                  <c:v>0.36699999999999999</c:v>
                </c:pt>
                <c:pt idx="148">
                  <c:v>0.36799999999999999</c:v>
                </c:pt>
                <c:pt idx="149">
                  <c:v>0.35799999999999998</c:v>
                </c:pt>
                <c:pt idx="150">
                  <c:v>0.35899999999999999</c:v>
                </c:pt>
                <c:pt idx="151">
                  <c:v>0.35899999999999999</c:v>
                </c:pt>
                <c:pt idx="152">
                  <c:v>0.34399999999999997</c:v>
                </c:pt>
                <c:pt idx="153">
                  <c:v>0.311</c:v>
                </c:pt>
                <c:pt idx="154">
                  <c:v>0.309</c:v>
                </c:pt>
                <c:pt idx="155">
                  <c:v>0.313</c:v>
                </c:pt>
                <c:pt idx="156">
                  <c:v>0.33</c:v>
                </c:pt>
                <c:pt idx="157">
                  <c:v>0.34699999999999998</c:v>
                </c:pt>
                <c:pt idx="158">
                  <c:v>0.35599999999999998</c:v>
                </c:pt>
                <c:pt idx="159">
                  <c:v>0.34699999999999998</c:v>
                </c:pt>
                <c:pt idx="160">
                  <c:v>0.34899999999999998</c:v>
                </c:pt>
                <c:pt idx="161">
                  <c:v>0.34799999999999998</c:v>
                </c:pt>
                <c:pt idx="162">
                  <c:v>0.35499999999999998</c:v>
                </c:pt>
                <c:pt idx="163">
                  <c:v>0.32800000000000001</c:v>
                </c:pt>
                <c:pt idx="164">
                  <c:v>0.318</c:v>
                </c:pt>
                <c:pt idx="165">
                  <c:v>0.28899999999999998</c:v>
                </c:pt>
                <c:pt idx="166">
                  <c:v>0.252</c:v>
                </c:pt>
                <c:pt idx="167">
                  <c:v>0.251</c:v>
                </c:pt>
                <c:pt idx="168">
                  <c:v>0.248</c:v>
                </c:pt>
                <c:pt idx="169">
                  <c:v>0.254</c:v>
                </c:pt>
                <c:pt idx="170">
                  <c:v>0.254</c:v>
                </c:pt>
                <c:pt idx="171">
                  <c:v>0.26100000000000001</c:v>
                </c:pt>
                <c:pt idx="172">
                  <c:v>0.26300000000000001</c:v>
                </c:pt>
                <c:pt idx="173">
                  <c:v>0.26700000000000002</c:v>
                </c:pt>
                <c:pt idx="174">
                  <c:v>0.27500000000000002</c:v>
                </c:pt>
                <c:pt idx="175">
                  <c:v>0.29499999999999998</c:v>
                </c:pt>
                <c:pt idx="176">
                  <c:v>0.29099999999999998</c:v>
                </c:pt>
                <c:pt idx="177">
                  <c:v>0.29799999999999999</c:v>
                </c:pt>
                <c:pt idx="178">
                  <c:v>0.30299999999999999</c:v>
                </c:pt>
                <c:pt idx="179">
                  <c:v>0.316</c:v>
                </c:pt>
                <c:pt idx="180">
                  <c:v>0.32500000000000001</c:v>
                </c:pt>
                <c:pt idx="181">
                  <c:v>0.32800000000000001</c:v>
                </c:pt>
                <c:pt idx="182">
                  <c:v>0.34599999999999997</c:v>
                </c:pt>
                <c:pt idx="183">
                  <c:v>0.47299999999999998</c:v>
                </c:pt>
                <c:pt idx="184">
                  <c:v>0.48099999999999998</c:v>
                </c:pt>
                <c:pt idx="185">
                  <c:v>0.46300000000000002</c:v>
                </c:pt>
                <c:pt idx="186">
                  <c:v>0.45</c:v>
                </c:pt>
                <c:pt idx="187">
                  <c:v>0.42399999999999999</c:v>
                </c:pt>
                <c:pt idx="188">
                  <c:v>0.4</c:v>
                </c:pt>
                <c:pt idx="189">
                  <c:v>0.35699999999999998</c:v>
                </c:pt>
                <c:pt idx="190">
                  <c:v>0.316</c:v>
                </c:pt>
                <c:pt idx="191">
                  <c:v>0.29699999999999999</c:v>
                </c:pt>
                <c:pt idx="192">
                  <c:v>0.29199999999999998</c:v>
                </c:pt>
                <c:pt idx="193">
                  <c:v>0.22600000000000001</c:v>
                </c:pt>
                <c:pt idx="194">
                  <c:v>0.23799999999999999</c:v>
                </c:pt>
                <c:pt idx="195">
                  <c:v>0.20799999999999999</c:v>
                </c:pt>
                <c:pt idx="196">
                  <c:v>0.14299999999999999</c:v>
                </c:pt>
                <c:pt idx="197">
                  <c:v>0.14699999999999999</c:v>
                </c:pt>
                <c:pt idx="198">
                  <c:v>0.14499999999999999</c:v>
                </c:pt>
                <c:pt idx="199">
                  <c:v>0.14000000000000001</c:v>
                </c:pt>
                <c:pt idx="200">
                  <c:v>6.7000000000000004E-2</c:v>
                </c:pt>
                <c:pt idx="201">
                  <c:v>8.5000000000000006E-2</c:v>
                </c:pt>
                <c:pt idx="202">
                  <c:v>5.7000000000000002E-2</c:v>
                </c:pt>
                <c:pt idx="203">
                  <c:v>6.8000000000000005E-2</c:v>
                </c:pt>
                <c:pt idx="204">
                  <c:v>5.8000000000000003E-2</c:v>
                </c:pt>
                <c:pt idx="205">
                  <c:v>5.8000000000000003E-2</c:v>
                </c:pt>
              </c:numCache>
            </c:numRef>
          </c:val>
          <c:smooth val="0"/>
          <c:extLst>
            <c:ext xmlns:c16="http://schemas.microsoft.com/office/drawing/2014/chart" uri="{C3380CC4-5D6E-409C-BE32-E72D297353CC}">
              <c16:uniqueId val="{00000001-2E61-C840-8979-7FB14E5E1DFE}"/>
            </c:ext>
          </c:extLst>
        </c:ser>
        <c:ser>
          <c:idx val="2"/>
          <c:order val="2"/>
          <c:tx>
            <c:strRef>
              <c:f>Load!$T$6</c:f>
              <c:strCache>
                <c:ptCount val="1"/>
              </c:strCache>
            </c:strRef>
          </c:tx>
          <c:spPr>
            <a:ln w="12700">
              <a:solidFill>
                <a:schemeClr val="accent2">
                  <a:lumMod val="60000"/>
                  <a:lumOff val="40000"/>
                </a:schemeClr>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Load!$T$30:$T$235</c:f>
              <c:numCache>
                <c:formatCode>0.0%</c:formatCode>
                <c:ptCount val="206"/>
                <c:pt idx="0">
                  <c:v>0.98179045875130155</c:v>
                </c:pt>
                <c:pt idx="1">
                  <c:v>0.97622675340437048</c:v>
                </c:pt>
                <c:pt idx="2">
                  <c:v>0.98015201177879552</c:v>
                </c:pt>
                <c:pt idx="3">
                  <c:v>0.97945161973544381</c:v>
                </c:pt>
                <c:pt idx="4">
                  <c:v>0.97858725428091453</c:v>
                </c:pt>
                <c:pt idx="5">
                  <c:v>0.97349507669064628</c:v>
                </c:pt>
                <c:pt idx="6">
                  <c:v>0.97198494863694163</c:v>
                </c:pt>
                <c:pt idx="7">
                  <c:v>0.97632209895745015</c:v>
                </c:pt>
                <c:pt idx="8">
                  <c:v>0.98109871792540415</c:v>
                </c:pt>
                <c:pt idx="9">
                  <c:v>0.97938839527054389</c:v>
                </c:pt>
                <c:pt idx="10">
                  <c:v>0.97739697514959611</c:v>
                </c:pt>
                <c:pt idx="11">
                  <c:v>0.97721133655431747</c:v>
                </c:pt>
                <c:pt idx="12">
                  <c:v>0.97847168121181338</c:v>
                </c:pt>
                <c:pt idx="13">
                  <c:v>0.98120107181365468</c:v>
                </c:pt>
                <c:pt idx="14">
                  <c:v>0.96234892157007823</c:v>
                </c:pt>
                <c:pt idx="15">
                  <c:v>0.95766799210049791</c:v>
                </c:pt>
                <c:pt idx="16">
                  <c:v>0.96386021881814332</c:v>
                </c:pt>
                <c:pt idx="17">
                  <c:v>0.95693775962625649</c:v>
                </c:pt>
                <c:pt idx="18">
                  <c:v>0.96617638055781752</c:v>
                </c:pt>
                <c:pt idx="19">
                  <c:v>0.96291235628946692</c:v>
                </c:pt>
                <c:pt idx="20">
                  <c:v>0.95927638519119729</c:v>
                </c:pt>
                <c:pt idx="21">
                  <c:v>0.95712349584287193</c:v>
                </c:pt>
                <c:pt idx="22">
                  <c:v>0.96024750614125709</c:v>
                </c:pt>
                <c:pt idx="23">
                  <c:v>0.95146794570401894</c:v>
                </c:pt>
                <c:pt idx="24">
                  <c:v>0.95371926728465339</c:v>
                </c:pt>
                <c:pt idx="25">
                  <c:v>0.95038670946019266</c:v>
                </c:pt>
                <c:pt idx="26">
                  <c:v>0.95916801158580689</c:v>
                </c:pt>
                <c:pt idx="27">
                  <c:v>0.96727154630160561</c:v>
                </c:pt>
                <c:pt idx="28">
                  <c:v>0.9636321847069157</c:v>
                </c:pt>
                <c:pt idx="29">
                  <c:v>0.9626812771813984</c:v>
                </c:pt>
                <c:pt idx="30">
                  <c:v>0.97097826521838704</c:v>
                </c:pt>
                <c:pt idx="31">
                  <c:v>0.95964331216197063</c:v>
                </c:pt>
                <c:pt idx="32">
                  <c:v>0.95864260911138899</c:v>
                </c:pt>
                <c:pt idx="33">
                  <c:v>0.96155946270612647</c:v>
                </c:pt>
                <c:pt idx="34">
                  <c:v>0.95606065854391364</c:v>
                </c:pt>
                <c:pt idx="35">
                  <c:v>0.96189314696295536</c:v>
                </c:pt>
                <c:pt idx="36">
                  <c:v>0.96160326472266611</c:v>
                </c:pt>
                <c:pt idx="37">
                  <c:v>0.96993931254469001</c:v>
                </c:pt>
                <c:pt idx="38">
                  <c:v>0.97024399317570398</c:v>
                </c:pt>
                <c:pt idx="39">
                  <c:v>0.97090501189373812</c:v>
                </c:pt>
                <c:pt idx="40">
                  <c:v>0.96837141155557038</c:v>
                </c:pt>
                <c:pt idx="41">
                  <c:v>0.96942436414470234</c:v>
                </c:pt>
                <c:pt idx="42">
                  <c:v>0.97024501332106827</c:v>
                </c:pt>
                <c:pt idx="43">
                  <c:v>0.9704541821559477</c:v>
                </c:pt>
                <c:pt idx="44">
                  <c:v>0.97152878313774094</c:v>
                </c:pt>
                <c:pt idx="45">
                  <c:v>0.97121000748914743</c:v>
                </c:pt>
                <c:pt idx="46">
                  <c:v>0.96110502604999382</c:v>
                </c:pt>
                <c:pt idx="47">
                  <c:v>0.96059541629810952</c:v>
                </c:pt>
                <c:pt idx="48">
                  <c:v>0.96310895033680832</c:v>
                </c:pt>
                <c:pt idx="49">
                  <c:v>0.97093385183052427</c:v>
                </c:pt>
                <c:pt idx="50">
                  <c:v>0.97631371044379012</c:v>
                </c:pt>
                <c:pt idx="51">
                  <c:v>0.98188886902142936</c:v>
                </c:pt>
                <c:pt idx="52">
                  <c:v>0.97454187559935501</c:v>
                </c:pt>
                <c:pt idx="53">
                  <c:v>0.97636696916701471</c:v>
                </c:pt>
                <c:pt idx="54">
                  <c:v>0.97386622713896642</c:v>
                </c:pt>
                <c:pt idx="55">
                  <c:v>0.97565198811712406</c:v>
                </c:pt>
                <c:pt idx="56">
                  <c:v>0.97762112634323306</c:v>
                </c:pt>
                <c:pt idx="57">
                  <c:v>0.97119112169650146</c:v>
                </c:pt>
                <c:pt idx="58">
                  <c:v>0.97213949824495527</c:v>
                </c:pt>
                <c:pt idx="59">
                  <c:v>0.968513955627473</c:v>
                </c:pt>
                <c:pt idx="60">
                  <c:v>0.96944843972037043</c:v>
                </c:pt>
                <c:pt idx="61">
                  <c:v>0.96898595077305849</c:v>
                </c:pt>
                <c:pt idx="62">
                  <c:v>0.97210986981805969</c:v>
                </c:pt>
                <c:pt idx="63">
                  <c:v>0.97755175383500936</c:v>
                </c:pt>
                <c:pt idx="64">
                  <c:v>0.97677344547817779</c:v>
                </c:pt>
                <c:pt idx="65">
                  <c:v>0.97279130631889754</c:v>
                </c:pt>
                <c:pt idx="66">
                  <c:v>0.97319480794963187</c:v>
                </c:pt>
                <c:pt idx="67">
                  <c:v>0.9665027200353894</c:v>
                </c:pt>
                <c:pt idx="68">
                  <c:v>0.96407120079803521</c:v>
                </c:pt>
                <c:pt idx="69">
                  <c:v>0.9580758024460112</c:v>
                </c:pt>
                <c:pt idx="70">
                  <c:v>0.94859023770106565</c:v>
                </c:pt>
                <c:pt idx="71">
                  <c:v>0.95227358105282278</c:v>
                </c:pt>
                <c:pt idx="72">
                  <c:v>0.94595995533989052</c:v>
                </c:pt>
                <c:pt idx="73">
                  <c:v>0.9491360922881904</c:v>
                </c:pt>
                <c:pt idx="74">
                  <c:v>0.96191421978916891</c:v>
                </c:pt>
                <c:pt idx="75">
                  <c:v>0.96512023611505227</c:v>
                </c:pt>
                <c:pt idx="76">
                  <c:v>0.96593027874973725</c:v>
                </c:pt>
                <c:pt idx="77">
                  <c:v>0.95717774083014218</c:v>
                </c:pt>
                <c:pt idx="78">
                  <c:v>0.96684807600779687</c:v>
                </c:pt>
                <c:pt idx="79">
                  <c:v>0.96899919738458018</c:v>
                </c:pt>
                <c:pt idx="80">
                  <c:v>0.9725778726480272</c:v>
                </c:pt>
                <c:pt idx="81">
                  <c:v>0.96444649678067829</c:v>
                </c:pt>
                <c:pt idx="82">
                  <c:v>0.96925795647153545</c:v>
                </c:pt>
                <c:pt idx="83">
                  <c:v>0.96849329744406731</c:v>
                </c:pt>
                <c:pt idx="84">
                  <c:v>0.96652155387204164</c:v>
                </c:pt>
                <c:pt idx="85">
                  <c:v>0.96563442388462206</c:v>
                </c:pt>
                <c:pt idx="86">
                  <c:v>0.966345169225173</c:v>
                </c:pt>
                <c:pt idx="87">
                  <c:v>0.95371856047978598</c:v>
                </c:pt>
                <c:pt idx="88">
                  <c:v>0.96515151924519216</c:v>
                </c:pt>
                <c:pt idx="89">
                  <c:v>0.96396002923833546</c:v>
                </c:pt>
                <c:pt idx="90">
                  <c:v>0.95734037710197117</c:v>
                </c:pt>
                <c:pt idx="91">
                  <c:v>0.956776582344534</c:v>
                </c:pt>
                <c:pt idx="92">
                  <c:v>0.95772356266534975</c:v>
                </c:pt>
                <c:pt idx="93">
                  <c:v>0.95290835275414587</c:v>
                </c:pt>
                <c:pt idx="94">
                  <c:v>0.95122815914090764</c:v>
                </c:pt>
                <c:pt idx="95">
                  <c:v>0.94794984047915276</c:v>
                </c:pt>
                <c:pt idx="96">
                  <c:v>0.94915040437791254</c:v>
                </c:pt>
                <c:pt idx="97">
                  <c:v>0.95334736672015874</c:v>
                </c:pt>
                <c:pt idx="98">
                  <c:v>0.94771653543307088</c:v>
                </c:pt>
                <c:pt idx="99">
                  <c:v>0.94643992371265095</c:v>
                </c:pt>
                <c:pt idx="100">
                  <c:v>0.93939393939393945</c:v>
                </c:pt>
                <c:pt idx="101">
                  <c:v>0.94268374915711395</c:v>
                </c:pt>
                <c:pt idx="102">
                  <c:v>0.93287812130567682</c:v>
                </c:pt>
                <c:pt idx="103">
                  <c:v>0.92464156798082719</c:v>
                </c:pt>
                <c:pt idx="104">
                  <c:v>0.93698363374527949</c:v>
                </c:pt>
                <c:pt idx="105">
                  <c:v>0.94774283194837627</c:v>
                </c:pt>
                <c:pt idx="106">
                  <c:v>0.92858036272670419</c:v>
                </c:pt>
                <c:pt idx="107">
                  <c:v>0.93048385160283342</c:v>
                </c:pt>
                <c:pt idx="108">
                  <c:v>0.92987335692246609</c:v>
                </c:pt>
                <c:pt idx="109">
                  <c:v>0.93109713487071977</c:v>
                </c:pt>
                <c:pt idx="110">
                  <c:v>0.92856172755670241</c:v>
                </c:pt>
                <c:pt idx="111">
                  <c:v>0.93506834910620396</c:v>
                </c:pt>
                <c:pt idx="112">
                  <c:v>0.9339610304694651</c:v>
                </c:pt>
                <c:pt idx="113">
                  <c:v>0.94199869366427169</c:v>
                </c:pt>
                <c:pt idx="114">
                  <c:v>0.93614421020470517</c:v>
                </c:pt>
                <c:pt idx="115">
                  <c:v>0.94771321120951113</c:v>
                </c:pt>
                <c:pt idx="116">
                  <c:v>0.95059382422802852</c:v>
                </c:pt>
                <c:pt idx="117">
                  <c:v>0.94653299916457811</c:v>
                </c:pt>
                <c:pt idx="118">
                  <c:v>0.94389238972370337</c:v>
                </c:pt>
                <c:pt idx="119">
                  <c:v>0.94408831908831914</c:v>
                </c:pt>
                <c:pt idx="120">
                  <c:v>0.94145744029393752</c:v>
                </c:pt>
                <c:pt idx="121">
                  <c:v>0.95230904743928524</c:v>
                </c:pt>
                <c:pt idx="122">
                  <c:v>0.94785158740277953</c:v>
                </c:pt>
                <c:pt idx="123">
                  <c:v>0.95299999999999996</c:v>
                </c:pt>
                <c:pt idx="124">
                  <c:v>0.9446</c:v>
                </c:pt>
                <c:pt idx="125">
                  <c:v>0.94510000000000005</c:v>
                </c:pt>
                <c:pt idx="126">
                  <c:v>0.94599999999999995</c:v>
                </c:pt>
                <c:pt idx="127">
                  <c:v>0.90400000000000003</c:v>
                </c:pt>
                <c:pt idx="128">
                  <c:v>0.90900000000000003</c:v>
                </c:pt>
                <c:pt idx="129">
                  <c:v>0.91200000000000003</c:v>
                </c:pt>
                <c:pt idx="130">
                  <c:v>0.9</c:v>
                </c:pt>
                <c:pt idx="131">
                  <c:v>0.88700000000000001</c:v>
                </c:pt>
                <c:pt idx="132">
                  <c:v>0.875</c:v>
                </c:pt>
                <c:pt idx="133">
                  <c:v>0.871</c:v>
                </c:pt>
                <c:pt idx="134">
                  <c:v>0.877</c:v>
                </c:pt>
                <c:pt idx="135">
                  <c:v>0.871</c:v>
                </c:pt>
                <c:pt idx="136">
                  <c:v>0.84399999999999997</c:v>
                </c:pt>
                <c:pt idx="137">
                  <c:v>0.85799999999999998</c:v>
                </c:pt>
                <c:pt idx="138">
                  <c:v>0.85799999999999998</c:v>
                </c:pt>
                <c:pt idx="139">
                  <c:v>0.89200000000000002</c:v>
                </c:pt>
                <c:pt idx="140">
                  <c:v>0.91</c:v>
                </c:pt>
                <c:pt idx="141">
                  <c:v>0.91100000000000003</c:v>
                </c:pt>
                <c:pt idx="142">
                  <c:v>0.91100000000000003</c:v>
                </c:pt>
                <c:pt idx="143">
                  <c:v>0.90300000000000002</c:v>
                </c:pt>
                <c:pt idx="144">
                  <c:v>0.89700000000000002</c:v>
                </c:pt>
                <c:pt idx="145">
                  <c:v>0.90269999999999995</c:v>
                </c:pt>
                <c:pt idx="146">
                  <c:v>0.91900000000000004</c:v>
                </c:pt>
                <c:pt idx="147">
                  <c:v>0.91700000000000004</c:v>
                </c:pt>
                <c:pt idx="148">
                  <c:v>0.91800000000000004</c:v>
                </c:pt>
                <c:pt idx="149">
                  <c:v>0.90700000000000003</c:v>
                </c:pt>
                <c:pt idx="150">
                  <c:v>0.90900000000000003</c:v>
                </c:pt>
                <c:pt idx="151">
                  <c:v>0.91200000000000003</c:v>
                </c:pt>
                <c:pt idx="152">
                  <c:v>0.91700000000000004</c:v>
                </c:pt>
                <c:pt idx="153">
                  <c:v>0.89100000000000001</c:v>
                </c:pt>
                <c:pt idx="154">
                  <c:v>0.88800000000000001</c:v>
                </c:pt>
                <c:pt idx="155">
                  <c:v>0.873</c:v>
                </c:pt>
                <c:pt idx="156">
                  <c:v>0.89400000000000002</c:v>
                </c:pt>
                <c:pt idx="157">
                  <c:v>0.87</c:v>
                </c:pt>
                <c:pt idx="158">
                  <c:v>0.86899999999999999</c:v>
                </c:pt>
                <c:pt idx="159">
                  <c:v>0.86399999999999999</c:v>
                </c:pt>
                <c:pt idx="160">
                  <c:v>0.85899999999999999</c:v>
                </c:pt>
                <c:pt idx="161">
                  <c:v>0.86199999999999999</c:v>
                </c:pt>
                <c:pt idx="162">
                  <c:v>0.875</c:v>
                </c:pt>
                <c:pt idx="163">
                  <c:v>0.86</c:v>
                </c:pt>
                <c:pt idx="164">
                  <c:v>0.86699999999999999</c:v>
                </c:pt>
                <c:pt idx="165">
                  <c:v>0.83599999999999997</c:v>
                </c:pt>
                <c:pt idx="166">
                  <c:v>0.81100000000000005</c:v>
                </c:pt>
                <c:pt idx="167">
                  <c:v>0.81699999999999995</c:v>
                </c:pt>
                <c:pt idx="168">
                  <c:v>0.80300000000000005</c:v>
                </c:pt>
                <c:pt idx="169">
                  <c:v>0.77300000000000002</c:v>
                </c:pt>
                <c:pt idx="170">
                  <c:v>0.77400000000000002</c:v>
                </c:pt>
                <c:pt idx="171">
                  <c:v>0.753</c:v>
                </c:pt>
                <c:pt idx="172">
                  <c:v>0.74199999999999999</c:v>
                </c:pt>
                <c:pt idx="173">
                  <c:v>0.745</c:v>
                </c:pt>
                <c:pt idx="174">
                  <c:v>0.73199999999999998</c:v>
                </c:pt>
                <c:pt idx="175">
                  <c:v>0.72</c:v>
                </c:pt>
                <c:pt idx="176">
                  <c:v>0.76100000000000001</c:v>
                </c:pt>
                <c:pt idx="177">
                  <c:v>0.79600000000000004</c:v>
                </c:pt>
                <c:pt idx="178">
                  <c:v>0.79700000000000004</c:v>
                </c:pt>
                <c:pt idx="179">
                  <c:v>0.79600000000000004</c:v>
                </c:pt>
                <c:pt idx="180">
                  <c:v>0.79700000000000004</c:v>
                </c:pt>
                <c:pt idx="181">
                  <c:v>0.80500000000000005</c:v>
                </c:pt>
                <c:pt idx="182">
                  <c:v>0.83199999999999996</c:v>
                </c:pt>
                <c:pt idx="183">
                  <c:v>0.88700000000000001</c:v>
                </c:pt>
                <c:pt idx="184">
                  <c:v>0.90300000000000002</c:v>
                </c:pt>
                <c:pt idx="185">
                  <c:v>0.90400000000000003</c:v>
                </c:pt>
                <c:pt idx="186">
                  <c:v>0.90400000000000003</c:v>
                </c:pt>
                <c:pt idx="187">
                  <c:v>0.88400000000000001</c:v>
                </c:pt>
                <c:pt idx="188">
                  <c:v>0.88300000000000001</c:v>
                </c:pt>
                <c:pt idx="189">
                  <c:v>0.877</c:v>
                </c:pt>
                <c:pt idx="190">
                  <c:v>0.85699999999999998</c:v>
                </c:pt>
                <c:pt idx="191">
                  <c:v>0.84099999999999997</c:v>
                </c:pt>
                <c:pt idx="192">
                  <c:v>0.81100000000000005</c:v>
                </c:pt>
                <c:pt idx="193">
                  <c:v>0.82799999999999996</c:v>
                </c:pt>
                <c:pt idx="194">
                  <c:v>0.77300000000000002</c:v>
                </c:pt>
                <c:pt idx="195">
                  <c:v>0.752</c:v>
                </c:pt>
                <c:pt idx="196">
                  <c:v>0.629</c:v>
                </c:pt>
                <c:pt idx="197">
                  <c:v>0.61699999999999999</c:v>
                </c:pt>
                <c:pt idx="198">
                  <c:v>0.65400000000000003</c:v>
                </c:pt>
                <c:pt idx="199">
                  <c:v>0.68500000000000005</c:v>
                </c:pt>
                <c:pt idx="200">
                  <c:v>0.63400000000000001</c:v>
                </c:pt>
                <c:pt idx="201">
                  <c:v>0.64500000000000002</c:v>
                </c:pt>
                <c:pt idx="202">
                  <c:v>0.60399999999999998</c:v>
                </c:pt>
                <c:pt idx="203">
                  <c:v>0.59599999999999997</c:v>
                </c:pt>
                <c:pt idx="204">
                  <c:v>0.58699999999999997</c:v>
                </c:pt>
                <c:pt idx="205">
                  <c:v>0.60599999999999998</c:v>
                </c:pt>
              </c:numCache>
            </c:numRef>
          </c:val>
          <c:smooth val="0"/>
          <c:extLst>
            <c:ext xmlns:c16="http://schemas.microsoft.com/office/drawing/2014/chart" uri="{C3380CC4-5D6E-409C-BE32-E72D297353CC}">
              <c16:uniqueId val="{00000002-2E61-C840-8979-7FB14E5E1DFE}"/>
            </c:ext>
          </c:extLst>
        </c:ser>
        <c:dLbls>
          <c:showLegendKey val="0"/>
          <c:showVal val="0"/>
          <c:showCatName val="0"/>
          <c:showSerName val="0"/>
          <c:showPercent val="0"/>
          <c:showBubbleSize val="0"/>
        </c:dLbls>
        <c:smooth val="0"/>
        <c:axId val="380240224"/>
        <c:axId val="1"/>
      </c:lineChart>
      <c:dateAx>
        <c:axId val="380240224"/>
        <c:scaling>
          <c:orientation val="minMax"/>
        </c:scaling>
        <c:delete val="0"/>
        <c:axPos val="b"/>
        <c:numFmt formatCode="[$-409]mmm\-yy;@" sourceLinked="0"/>
        <c:majorTickMark val="out"/>
        <c:minorTickMark val="none"/>
        <c:tickLblPos val="nextTo"/>
        <c:spPr>
          <a:ln w="3175">
            <a:solidFill>
              <a:srgbClr val="000000"/>
            </a:solidFill>
            <a:prstDash val="solid"/>
          </a:ln>
        </c:spPr>
        <c:txPr>
          <a:bodyPr rot="-42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6"/>
        <c:majorTimeUnit val="months"/>
        <c:minorUnit val="3"/>
        <c:minorTimeUnit val="months"/>
      </c:dateAx>
      <c:valAx>
        <c:axId val="1"/>
        <c:scaling>
          <c:orientation val="minMax"/>
          <c:max val="1"/>
        </c:scaling>
        <c:delete val="0"/>
        <c:axPos val="l"/>
        <c:majorGridlines>
          <c:spPr>
            <a:ln w="3175">
              <a:solidFill>
                <a:schemeClr val="bg1">
                  <a:lumMod val="6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Load (%)</a:t>
                </a:r>
              </a:p>
            </c:rich>
          </c:tx>
          <c:layout>
            <c:manualLayout>
              <c:xMode val="edge"/>
              <c:yMode val="edge"/>
              <c:x val="1.2208657047724751E-2"/>
              <c:y val="0.4942904150074530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80240224"/>
        <c:crosses val="autoZero"/>
        <c:crossBetween val="between"/>
      </c:valAx>
      <c:spPr>
        <a:noFill/>
        <a:ln w="12700">
          <a:solidFill>
            <a:schemeClr val="tx1"/>
          </a:solidFill>
          <a:prstDash val="solid"/>
        </a:ln>
      </c:spPr>
    </c:plotArea>
    <c:legend>
      <c:legendPos val="r"/>
      <c:layout>
        <c:manualLayout>
          <c:xMode val="edge"/>
          <c:yMode val="edge"/>
          <c:x val="0.43851851851851853"/>
          <c:y val="0.9606986899563319"/>
          <c:w val="0.12740740740740741"/>
          <c:h val="2.6200873362445413E-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Load Served by Competitive Electric Providers in Maine 
June 2000-April 2016
Presented by the Maine PUC</a:t>
            </a:r>
          </a:p>
        </c:rich>
      </c:tx>
      <c:layout>
        <c:manualLayout>
          <c:xMode val="edge"/>
          <c:yMode val="edge"/>
          <c:x val="0.26304106548279688"/>
          <c:y val="1.9575842708695782E-2"/>
        </c:manualLayout>
      </c:layout>
      <c:overlay val="0"/>
      <c:spPr>
        <a:noFill/>
        <a:ln w="25400">
          <a:noFill/>
        </a:ln>
      </c:spPr>
    </c:title>
    <c:autoTitleDeleted val="0"/>
    <c:plotArea>
      <c:layout>
        <c:manualLayout>
          <c:layoutTarget val="inner"/>
          <c:xMode val="edge"/>
          <c:yMode val="edge"/>
          <c:x val="8.324084350721421E-2"/>
          <c:y val="0.11691136487221315"/>
          <c:w val="0.87717351091379947"/>
          <c:h val="0.71941272430668846"/>
        </c:manualLayout>
      </c:layout>
      <c:lineChart>
        <c:grouping val="standard"/>
        <c:varyColors val="0"/>
        <c:ser>
          <c:idx val="0"/>
          <c:order val="0"/>
          <c:tx>
            <c:v>BHE</c:v>
          </c:tx>
          <c:spPr>
            <a:ln w="22225">
              <a:solidFill>
                <a:srgbClr val="000080"/>
              </a:solidFill>
              <a:prstDash val="dash"/>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Load!$L$6:$L$235</c:f>
              <c:numCache>
                <c:formatCode>0.0%</c:formatCode>
                <c:ptCount val="230"/>
                <c:pt idx="3">
                  <c:v>0.37993656157588007</c:v>
                </c:pt>
                <c:pt idx="4">
                  <c:v>0.36099999999999999</c:v>
                </c:pt>
                <c:pt idx="5">
                  <c:v>0.35194644707448886</c:v>
                </c:pt>
                <c:pt idx="6">
                  <c:v>0.3536932204418986</c:v>
                </c:pt>
                <c:pt idx="7">
                  <c:v>0.33912198441856128</c:v>
                </c:pt>
                <c:pt idx="8">
                  <c:v>0.36083152916037614</c:v>
                </c:pt>
                <c:pt idx="9">
                  <c:v>0.36801776084462368</c:v>
                </c:pt>
                <c:pt idx="10">
                  <c:v>0.38209917182611747</c:v>
                </c:pt>
                <c:pt idx="11">
                  <c:v>0.38179889169164821</c:v>
                </c:pt>
                <c:pt idx="12">
                  <c:v>0.38689059677420512</c:v>
                </c:pt>
                <c:pt idx="13">
                  <c:v>0.39675372687734795</c:v>
                </c:pt>
                <c:pt idx="14">
                  <c:v>0.37677212173075736</c:v>
                </c:pt>
                <c:pt idx="15">
                  <c:v>0.37054862007837075</c:v>
                </c:pt>
                <c:pt idx="16">
                  <c:v>0.36306470367798399</c:v>
                </c:pt>
                <c:pt idx="17">
                  <c:v>0.36858931097690201</c:v>
                </c:pt>
                <c:pt idx="18">
                  <c:v>0.36893653831616324</c:v>
                </c:pt>
                <c:pt idx="19">
                  <c:v>0.35213232942818107</c:v>
                </c:pt>
                <c:pt idx="20">
                  <c:v>0.37803472246480596</c:v>
                </c:pt>
                <c:pt idx="21">
                  <c:v>0.39762441901904211</c:v>
                </c:pt>
                <c:pt idx="22">
                  <c:v>0.40976870242682439</c:v>
                </c:pt>
                <c:pt idx="23">
                  <c:v>0.42460053668453135</c:v>
                </c:pt>
                <c:pt idx="24">
                  <c:v>0.4089157098411767</c:v>
                </c:pt>
                <c:pt idx="25">
                  <c:v>0.4053779629197467</c:v>
                </c:pt>
                <c:pt idx="26">
                  <c:v>0.40601876300434947</c:v>
                </c:pt>
                <c:pt idx="27">
                  <c:v>0.39245883134782522</c:v>
                </c:pt>
                <c:pt idx="28">
                  <c:v>0.38010794140323823</c:v>
                </c:pt>
                <c:pt idx="29">
                  <c:v>0.38603169954976396</c:v>
                </c:pt>
                <c:pt idx="30">
                  <c:v>0.28373442566990953</c:v>
                </c:pt>
                <c:pt idx="31">
                  <c:v>0.3966882126516087</c:v>
                </c:pt>
                <c:pt idx="32">
                  <c:v>0.40350461757044753</c:v>
                </c:pt>
                <c:pt idx="33">
                  <c:v>0.3990918264379415</c:v>
                </c:pt>
                <c:pt idx="34">
                  <c:v>0.34278544542032624</c:v>
                </c:pt>
                <c:pt idx="35">
                  <c:v>0.43621943159286186</c:v>
                </c:pt>
                <c:pt idx="36">
                  <c:v>0.39732457169678481</c:v>
                </c:pt>
                <c:pt idx="37">
                  <c:v>0.41506817656574996</c:v>
                </c:pt>
                <c:pt idx="38">
                  <c:v>0.40909090909090912</c:v>
                </c:pt>
                <c:pt idx="39">
                  <c:v>0.40873464466048687</c:v>
                </c:pt>
                <c:pt idx="40">
                  <c:v>0.40195401881378695</c:v>
                </c:pt>
                <c:pt idx="41">
                  <c:v>0.40560702265709025</c:v>
                </c:pt>
                <c:pt idx="42">
                  <c:v>0.3867452235806968</c:v>
                </c:pt>
                <c:pt idx="43">
                  <c:v>0.3632237656443405</c:v>
                </c:pt>
                <c:pt idx="44">
                  <c:v>0.36921256005012876</c:v>
                </c:pt>
                <c:pt idx="45">
                  <c:v>0.40270424953498357</c:v>
                </c:pt>
                <c:pt idx="46">
                  <c:v>0.41826535046874025</c:v>
                </c:pt>
                <c:pt idx="47">
                  <c:v>0.44343878148799065</c:v>
                </c:pt>
                <c:pt idx="48">
                  <c:v>0.43457311120209113</c:v>
                </c:pt>
                <c:pt idx="49">
                  <c:v>0.4330340504828053</c:v>
                </c:pt>
                <c:pt idx="50">
                  <c:v>0.43327377680043977</c:v>
                </c:pt>
                <c:pt idx="51">
                  <c:v>0.42675521147768031</c:v>
                </c:pt>
                <c:pt idx="52">
                  <c:v>0.38491543091563263</c:v>
                </c:pt>
                <c:pt idx="53">
                  <c:v>0.37696560196560197</c:v>
                </c:pt>
                <c:pt idx="54">
                  <c:v>0.39331775296459803</c:v>
                </c:pt>
                <c:pt idx="55">
                  <c:v>0.38018535617796934</c:v>
                </c:pt>
                <c:pt idx="56">
                  <c:v>0.41975308641975301</c:v>
                </c:pt>
                <c:pt idx="57">
                  <c:v>0.42473633748801531</c:v>
                </c:pt>
                <c:pt idx="58">
                  <c:v>0.44131244824730875</c:v>
                </c:pt>
                <c:pt idx="59">
                  <c:v>0.44176622441015795</c:v>
                </c:pt>
                <c:pt idx="60">
                  <c:v>0.41176281742592052</c:v>
                </c:pt>
                <c:pt idx="61">
                  <c:v>0.42246630378434424</c:v>
                </c:pt>
                <c:pt idx="62">
                  <c:v>0.42992286421190506</c:v>
                </c:pt>
                <c:pt idx="63">
                  <c:v>0.42492996230069524</c:v>
                </c:pt>
                <c:pt idx="64">
                  <c:v>0.41369141987443725</c:v>
                </c:pt>
                <c:pt idx="65">
                  <c:v>0.38465383654086482</c:v>
                </c:pt>
                <c:pt idx="66">
                  <c:v>0.3768480933898255</c:v>
                </c:pt>
                <c:pt idx="67">
                  <c:v>0.39159219784461002</c:v>
                </c:pt>
                <c:pt idx="68">
                  <c:v>0.44861885453623923</c:v>
                </c:pt>
                <c:pt idx="69">
                  <c:v>0.39616399658030699</c:v>
                </c:pt>
                <c:pt idx="70">
                  <c:v>0.46170761037622399</c:v>
                </c:pt>
                <c:pt idx="71">
                  <c:v>0.47826617826617823</c:v>
                </c:pt>
                <c:pt idx="72">
                  <c:v>0.46349938499384996</c:v>
                </c:pt>
                <c:pt idx="73">
                  <c:v>0.47561706017715855</c:v>
                </c:pt>
                <c:pt idx="74">
                  <c:v>0.4948531171984541</c:v>
                </c:pt>
                <c:pt idx="75">
                  <c:v>0.45519232752397648</c:v>
                </c:pt>
                <c:pt idx="76">
                  <c:v>0.45466833372757076</c:v>
                </c:pt>
                <c:pt idx="77">
                  <c:v>0.43132674642507646</c:v>
                </c:pt>
                <c:pt idx="78">
                  <c:v>0.42151868743706683</c:v>
                </c:pt>
                <c:pt idx="79">
                  <c:v>0.41047104247104244</c:v>
                </c:pt>
                <c:pt idx="80">
                  <c:v>0.43569285957262582</c:v>
                </c:pt>
                <c:pt idx="81">
                  <c:v>0.43810853135425887</c:v>
                </c:pt>
                <c:pt idx="82">
                  <c:v>0.43607398406912384</c:v>
                </c:pt>
                <c:pt idx="83">
                  <c:v>0.43300803673937999</c:v>
                </c:pt>
                <c:pt idx="84">
                  <c:v>0.4362166820194337</c:v>
                </c:pt>
                <c:pt idx="85">
                  <c:v>0.42442064887326203</c:v>
                </c:pt>
                <c:pt idx="86">
                  <c:v>0.40496175455222361</c:v>
                </c:pt>
                <c:pt idx="87">
                  <c:v>0.39749116607773849</c:v>
                </c:pt>
                <c:pt idx="88">
                  <c:v>0.38735823882588388</c:v>
                </c:pt>
                <c:pt idx="89">
                  <c:v>0.36664608986646741</c:v>
                </c:pt>
                <c:pt idx="90">
                  <c:v>0.37082472588590498</c:v>
                </c:pt>
                <c:pt idx="91">
                  <c:v>0.34728527893525718</c:v>
                </c:pt>
                <c:pt idx="92">
                  <c:v>0.37945232994108202</c:v>
                </c:pt>
                <c:pt idx="93">
                  <c:v>0.37775848829833408</c:v>
                </c:pt>
                <c:pt idx="94">
                  <c:v>0.35979318734793186</c:v>
                </c:pt>
                <c:pt idx="95">
                  <c:v>0.40189457327277067</c:v>
                </c:pt>
                <c:pt idx="96">
                  <c:v>0.38095382469757144</c:v>
                </c:pt>
                <c:pt idx="97">
                  <c:v>0.39267170555372988</c:v>
                </c:pt>
                <c:pt idx="98">
                  <c:v>0.38249100565358923</c:v>
                </c:pt>
                <c:pt idx="99">
                  <c:v>0.3795297861057097</c:v>
                </c:pt>
                <c:pt idx="100">
                  <c:v>0.36735430126922697</c:v>
                </c:pt>
                <c:pt idx="101">
                  <c:v>0.36056761986669533</c:v>
                </c:pt>
                <c:pt idx="102">
                  <c:v>0.36021754223559366</c:v>
                </c:pt>
                <c:pt idx="103">
                  <c:v>0.35852356684056574</c:v>
                </c:pt>
                <c:pt idx="104">
                  <c:v>0.37469724135761689</c:v>
                </c:pt>
                <c:pt idx="105">
                  <c:v>0.3928838585878297</c:v>
                </c:pt>
                <c:pt idx="106">
                  <c:v>0.40395845828466814</c:v>
                </c:pt>
                <c:pt idx="107">
                  <c:v>0.4035239584496817</c:v>
                </c:pt>
                <c:pt idx="108">
                  <c:v>0.40795406805769507</c:v>
                </c:pt>
                <c:pt idx="109">
                  <c:v>0.40371287128712874</c:v>
                </c:pt>
                <c:pt idx="110">
                  <c:v>0.36342119767856562</c:v>
                </c:pt>
                <c:pt idx="111">
                  <c:v>0.3696611665648129</c:v>
                </c:pt>
                <c:pt idx="112">
                  <c:v>0.33648922809390402</c:v>
                </c:pt>
                <c:pt idx="113">
                  <c:v>0.35648118571519832</c:v>
                </c:pt>
                <c:pt idx="114">
                  <c:v>0.34383730361380638</c:v>
                </c:pt>
                <c:pt idx="115">
                  <c:v>0.32998345486855812</c:v>
                </c:pt>
                <c:pt idx="116">
                  <c:v>0.33781506941636336</c:v>
                </c:pt>
                <c:pt idx="117">
                  <c:v>0.34304583015298845</c:v>
                </c:pt>
                <c:pt idx="118">
                  <c:v>0.34894279843573944</c:v>
                </c:pt>
                <c:pt idx="119">
                  <c:v>0.34695491695228048</c:v>
                </c:pt>
                <c:pt idx="120">
                  <c:v>0.33431626604712122</c:v>
                </c:pt>
                <c:pt idx="121">
                  <c:v>0.35043263288009885</c:v>
                </c:pt>
                <c:pt idx="122">
                  <c:v>0.33860531991373111</c:v>
                </c:pt>
                <c:pt idx="123">
                  <c:v>0.32876807563959953</c:v>
                </c:pt>
                <c:pt idx="124">
                  <c:v>0.3208065994500458</c:v>
                </c:pt>
                <c:pt idx="125">
                  <c:v>0.3073743745921253</c:v>
                </c:pt>
                <c:pt idx="126">
                  <c:v>0.33015115354017505</c:v>
                </c:pt>
                <c:pt idx="127">
                  <c:v>0.2909007211907319</c:v>
                </c:pt>
                <c:pt idx="128">
                  <c:v>0.31333038086802478</c:v>
                </c:pt>
                <c:pt idx="129">
                  <c:v>0.33467307126752277</c:v>
                </c:pt>
                <c:pt idx="130">
                  <c:v>0.31079949769778148</c:v>
                </c:pt>
                <c:pt idx="131">
                  <c:v>0.31129363449691994</c:v>
                </c:pt>
                <c:pt idx="132">
                  <c:v>0.32655246252676662</c:v>
                </c:pt>
                <c:pt idx="133">
                  <c:v>0.33024390243902441</c:v>
                </c:pt>
                <c:pt idx="134">
                  <c:v>0.32467222884386177</c:v>
                </c:pt>
                <c:pt idx="135">
                  <c:v>0.31417794541823829</c:v>
                </c:pt>
                <c:pt idx="136">
                  <c:v>0.31562235393734123</c:v>
                </c:pt>
                <c:pt idx="137">
                  <c:v>0.30052652895909276</c:v>
                </c:pt>
                <c:pt idx="138">
                  <c:v>0.30333692142088264</c:v>
                </c:pt>
                <c:pt idx="139">
                  <c:v>0.33674749163879597</c:v>
                </c:pt>
                <c:pt idx="140">
                  <c:v>0.30270270270270272</c:v>
                </c:pt>
                <c:pt idx="141">
                  <c:v>0.32436537209806898</c:v>
                </c:pt>
                <c:pt idx="142">
                  <c:v>0.31932610379550735</c:v>
                </c:pt>
                <c:pt idx="143">
                  <c:v>0.31336571325778018</c:v>
                </c:pt>
                <c:pt idx="144">
                  <c:v>0.33339245192881878</c:v>
                </c:pt>
                <c:pt idx="145">
                  <c:v>0.35365133521422482</c:v>
                </c:pt>
                <c:pt idx="146">
                  <c:v>0.33606672932330833</c:v>
                </c:pt>
                <c:pt idx="147">
                  <c:v>0.32030484141289561</c:v>
                </c:pt>
                <c:pt idx="148">
                  <c:v>0.32512842465753422</c:v>
                </c:pt>
                <c:pt idx="149">
                  <c:v>0.29146564178046719</c:v>
                </c:pt>
                <c:pt idx="150">
                  <c:v>0.29086487946924433</c:v>
                </c:pt>
                <c:pt idx="151">
                  <c:v>0.30406750734806104</c:v>
                </c:pt>
                <c:pt idx="152">
                  <c:v>0.31793868232224393</c:v>
                </c:pt>
                <c:pt idx="153">
                  <c:v>0.31119119509106846</c:v>
                </c:pt>
                <c:pt idx="154">
                  <c:v>0.2526281948239833</c:v>
                </c:pt>
                <c:pt idx="155">
                  <c:v>0.23741485296560894</c:v>
                </c:pt>
                <c:pt idx="156">
                  <c:v>0.23655230834392207</c:v>
                </c:pt>
                <c:pt idx="157">
                  <c:v>0.24259815671314272</c:v>
                </c:pt>
                <c:pt idx="158">
                  <c:v>0.21189946999487091</c:v>
                </c:pt>
                <c:pt idx="159">
                  <c:v>0.24220112381321449</c:v>
                </c:pt>
                <c:pt idx="160">
                  <c:v>0.23485585610630785</c:v>
                </c:pt>
                <c:pt idx="161">
                  <c:v>0.24690606613917632</c:v>
                </c:pt>
                <c:pt idx="162">
                  <c:v>0.23</c:v>
                </c:pt>
                <c:pt idx="163" formatCode="0%">
                  <c:v>0.24</c:v>
                </c:pt>
                <c:pt idx="164" formatCode="0%">
                  <c:v>0.27</c:v>
                </c:pt>
                <c:pt idx="165" formatCode="0%">
                  <c:v>0.25</c:v>
                </c:pt>
                <c:pt idx="166" formatCode="0%">
                  <c:v>0.31</c:v>
                </c:pt>
                <c:pt idx="167" formatCode="0%">
                  <c:v>0.32</c:v>
                </c:pt>
                <c:pt idx="168" formatCode="0%">
                  <c:v>0.3</c:v>
                </c:pt>
                <c:pt idx="169" formatCode="0%">
                  <c:v>0.32</c:v>
                </c:pt>
                <c:pt idx="170" formatCode="0%">
                  <c:v>0.32</c:v>
                </c:pt>
                <c:pt idx="171" formatCode="0%">
                  <c:v>0.28999999999999998</c:v>
                </c:pt>
                <c:pt idx="172" formatCode="0%">
                  <c:v>0.31</c:v>
                </c:pt>
                <c:pt idx="173" formatCode="0%">
                  <c:v>0.31</c:v>
                </c:pt>
                <c:pt idx="174" formatCode="0%">
                  <c:v>0.31</c:v>
                </c:pt>
                <c:pt idx="175" formatCode="0%">
                  <c:v>0.31</c:v>
                </c:pt>
                <c:pt idx="176" formatCode="0%">
                  <c:v>0.21</c:v>
                </c:pt>
                <c:pt idx="177" formatCode="0%">
                  <c:v>0.31</c:v>
                </c:pt>
                <c:pt idx="178" formatCode="0%">
                  <c:v>0.27</c:v>
                </c:pt>
                <c:pt idx="179" formatCode="0%">
                  <c:v>0.26</c:v>
                </c:pt>
                <c:pt idx="180" formatCode="0%">
                  <c:v>0.23</c:v>
                </c:pt>
                <c:pt idx="181" formatCode="0%">
                  <c:v>0.25</c:v>
                </c:pt>
                <c:pt idx="182" formatCode="0%">
                  <c:v>0.21</c:v>
                </c:pt>
                <c:pt idx="183" formatCode="0%">
                  <c:v>0.22</c:v>
                </c:pt>
                <c:pt idx="184" formatCode="0%">
                  <c:v>0.22</c:v>
                </c:pt>
                <c:pt idx="185" formatCode="0%">
                  <c:v>0.21</c:v>
                </c:pt>
                <c:pt idx="186" formatCode="0%">
                  <c:v>0.26</c:v>
                </c:pt>
                <c:pt idx="187" formatCode="0%">
                  <c:v>0.24</c:v>
                </c:pt>
                <c:pt idx="188" formatCode="0%">
                  <c:v>0.23</c:v>
                </c:pt>
                <c:pt idx="189" formatCode="0%">
                  <c:v>0.22</c:v>
                </c:pt>
                <c:pt idx="190" formatCode="0%">
                  <c:v>0.16</c:v>
                </c:pt>
                <c:pt idx="191" formatCode="0%">
                  <c:v>0.16</c:v>
                </c:pt>
                <c:pt idx="192" formatCode="0%">
                  <c:v>0.15</c:v>
                </c:pt>
                <c:pt idx="193" formatCode="0%">
                  <c:v>0.17</c:v>
                </c:pt>
                <c:pt idx="194" formatCode="0%">
                  <c:v>0.17</c:v>
                </c:pt>
                <c:pt idx="195" formatCode="0%">
                  <c:v>0.13</c:v>
                </c:pt>
                <c:pt idx="196" formatCode="0%">
                  <c:v>0.17</c:v>
                </c:pt>
                <c:pt idx="198" formatCode="0%">
                  <c:v>0.17</c:v>
                </c:pt>
                <c:pt idx="199" formatCode="0%">
                  <c:v>0.22</c:v>
                </c:pt>
                <c:pt idx="200" formatCode="0%">
                  <c:v>0.23</c:v>
                </c:pt>
                <c:pt idx="201" formatCode="0%">
                  <c:v>0.23</c:v>
                </c:pt>
                <c:pt idx="202" formatCode="0%">
                  <c:v>0.21</c:v>
                </c:pt>
                <c:pt idx="203" formatCode="0%">
                  <c:v>0.2</c:v>
                </c:pt>
                <c:pt idx="204" formatCode="0%">
                  <c:v>0.21</c:v>
                </c:pt>
                <c:pt idx="205" formatCode="0%">
                  <c:v>0.23</c:v>
                </c:pt>
                <c:pt idx="206" formatCode="0%">
                  <c:v>0.21</c:v>
                </c:pt>
                <c:pt idx="207" formatCode="0%">
                  <c:v>0.33</c:v>
                </c:pt>
                <c:pt idx="208" formatCode="0%">
                  <c:v>0.32</c:v>
                </c:pt>
                <c:pt idx="209" formatCode="0%">
                  <c:v>0.3</c:v>
                </c:pt>
                <c:pt idx="210" formatCode="0%">
                  <c:v>0.28000000000000003</c:v>
                </c:pt>
                <c:pt idx="211" formatCode="0%">
                  <c:v>0.26</c:v>
                </c:pt>
                <c:pt idx="212" formatCode="0%">
                  <c:v>0.28000000000000003</c:v>
                </c:pt>
                <c:pt idx="213" formatCode="0%">
                  <c:v>0.3</c:v>
                </c:pt>
                <c:pt idx="214" formatCode="0%">
                  <c:v>0.3</c:v>
                </c:pt>
                <c:pt idx="215" formatCode="0%">
                  <c:v>0.3</c:v>
                </c:pt>
                <c:pt idx="216" formatCode="0%">
                  <c:v>0.18</c:v>
                </c:pt>
                <c:pt idx="217" formatCode="0%">
                  <c:v>0.17</c:v>
                </c:pt>
                <c:pt idx="218" formatCode="0%">
                  <c:v>0.16</c:v>
                </c:pt>
                <c:pt idx="219" formatCode="0%">
                  <c:v>0.13</c:v>
                </c:pt>
                <c:pt idx="220" formatCode="0%">
                  <c:v>0.09</c:v>
                </c:pt>
                <c:pt idx="221" formatCode="0%">
                  <c:v>0.11</c:v>
                </c:pt>
                <c:pt idx="222" formatCode="0%">
                  <c:v>0.12</c:v>
                </c:pt>
                <c:pt idx="223" formatCode="0%">
                  <c:v>0.12</c:v>
                </c:pt>
                <c:pt idx="224" formatCode="0%">
                  <c:v>0.12</c:v>
                </c:pt>
                <c:pt idx="225" formatCode="0%">
                  <c:v>0.11</c:v>
                </c:pt>
                <c:pt idx="226" formatCode="0%">
                  <c:v>0.17</c:v>
                </c:pt>
                <c:pt idx="227" formatCode="0%">
                  <c:v>0.19</c:v>
                </c:pt>
                <c:pt idx="228" formatCode="0%">
                  <c:v>0</c:v>
                </c:pt>
                <c:pt idx="229" formatCode="0%">
                  <c:v>0</c:v>
                </c:pt>
              </c:numCache>
            </c:numRef>
          </c:val>
          <c:smooth val="0"/>
          <c:extLst>
            <c:ext xmlns:c16="http://schemas.microsoft.com/office/drawing/2014/chart" uri="{C3380CC4-5D6E-409C-BE32-E72D297353CC}">
              <c16:uniqueId val="{00000000-5486-E742-AEFB-7662EC6632B4}"/>
            </c:ext>
          </c:extLst>
        </c:ser>
        <c:ser>
          <c:idx val="1"/>
          <c:order val="1"/>
          <c:tx>
            <c:v>CMP</c:v>
          </c:tx>
          <c:spPr>
            <a:ln w="25400">
              <a:solidFill>
                <a:schemeClr val="accent3">
                  <a:lumMod val="75000"/>
                </a:schemeClr>
              </a:solidFill>
              <a:prstDash val="dashDot"/>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Load!$X$6:$X$235</c:f>
              <c:numCache>
                <c:formatCode>0.0%</c:formatCode>
                <c:ptCount val="230"/>
                <c:pt idx="2">
                  <c:v>0.52796089775977162</c:v>
                </c:pt>
                <c:pt idx="3">
                  <c:v>0.47278071767285773</c:v>
                </c:pt>
                <c:pt idx="4">
                  <c:v>0.49693571357066679</c:v>
                </c:pt>
                <c:pt idx="5">
                  <c:v>0.39222264564099962</c:v>
                </c:pt>
                <c:pt idx="6">
                  <c:v>0.50193327880436345</c:v>
                </c:pt>
                <c:pt idx="7">
                  <c:v>0.42684856051725356</c:v>
                </c:pt>
                <c:pt idx="8">
                  <c:v>0.51703598305439957</c:v>
                </c:pt>
                <c:pt idx="9">
                  <c:v>0.53552085273668426</c:v>
                </c:pt>
                <c:pt idx="10">
                  <c:v>0.52580387974948584</c:v>
                </c:pt>
                <c:pt idx="11">
                  <c:v>0.53752473544897739</c:v>
                </c:pt>
                <c:pt idx="12">
                  <c:v>0.49318217998948616</c:v>
                </c:pt>
                <c:pt idx="13">
                  <c:v>0.5335612711219504</c:v>
                </c:pt>
                <c:pt idx="14">
                  <c:v>0.54430977584320472</c:v>
                </c:pt>
                <c:pt idx="15">
                  <c:v>0.50962386917665714</c:v>
                </c:pt>
                <c:pt idx="16">
                  <c:v>0.4639960792884133</c:v>
                </c:pt>
                <c:pt idx="17">
                  <c:v>0.43661420050138555</c:v>
                </c:pt>
                <c:pt idx="18">
                  <c:v>0.49901303785681544</c:v>
                </c:pt>
                <c:pt idx="19">
                  <c:v>0.49716216079529046</c:v>
                </c:pt>
                <c:pt idx="20">
                  <c:v>0.44514547810735522</c:v>
                </c:pt>
                <c:pt idx="21">
                  <c:v>0.58814964977612283</c:v>
                </c:pt>
                <c:pt idx="22">
                  <c:v>0.54118972414731925</c:v>
                </c:pt>
                <c:pt idx="23">
                  <c:v>0.54118972414731925</c:v>
                </c:pt>
                <c:pt idx="24">
                  <c:v>0.52835712188001904</c:v>
                </c:pt>
                <c:pt idx="25">
                  <c:v>0.54207798478797797</c:v>
                </c:pt>
                <c:pt idx="26">
                  <c:v>0.54585130973960616</c:v>
                </c:pt>
                <c:pt idx="27">
                  <c:v>0.52156578310499524</c:v>
                </c:pt>
                <c:pt idx="28">
                  <c:v>0.51576915552088387</c:v>
                </c:pt>
                <c:pt idx="29">
                  <c:v>0.46509152901552375</c:v>
                </c:pt>
                <c:pt idx="30">
                  <c:v>0.50384111614464933</c:v>
                </c:pt>
                <c:pt idx="31">
                  <c:v>0.52613057748966752</c:v>
                </c:pt>
                <c:pt idx="32">
                  <c:v>0.57241920147490621</c:v>
                </c:pt>
                <c:pt idx="33">
                  <c:v>0.60028845241823292</c:v>
                </c:pt>
                <c:pt idx="34">
                  <c:v>0.54923015770764128</c:v>
                </c:pt>
                <c:pt idx="35">
                  <c:v>0.57522437815710181</c:v>
                </c:pt>
                <c:pt idx="36">
                  <c:v>0.54733198876660283</c:v>
                </c:pt>
                <c:pt idx="37">
                  <c:v>0.58583344304072482</c:v>
                </c:pt>
                <c:pt idx="38">
                  <c:v>0.56799699810970394</c:v>
                </c:pt>
                <c:pt idx="39">
                  <c:v>0.53548380479077906</c:v>
                </c:pt>
                <c:pt idx="40">
                  <c:v>0.53465257177758296</c:v>
                </c:pt>
                <c:pt idx="41">
                  <c:v>0.52073135203278753</c:v>
                </c:pt>
                <c:pt idx="42">
                  <c:v>0.52802784720340012</c:v>
                </c:pt>
                <c:pt idx="43">
                  <c:v>0.53552967626124059</c:v>
                </c:pt>
                <c:pt idx="44">
                  <c:v>0.56571856204303983</c:v>
                </c:pt>
                <c:pt idx="45">
                  <c:v>0.58433274971483962</c:v>
                </c:pt>
                <c:pt idx="46">
                  <c:v>0.57095055522162663</c:v>
                </c:pt>
                <c:pt idx="47">
                  <c:v>0.56271969694170709</c:v>
                </c:pt>
                <c:pt idx="48">
                  <c:v>0.57415324836776394</c:v>
                </c:pt>
                <c:pt idx="49">
                  <c:v>0.59869561269789251</c:v>
                </c:pt>
                <c:pt idx="50">
                  <c:v>0.58217549901387111</c:v>
                </c:pt>
                <c:pt idx="51">
                  <c:v>0.57050660895560856</c:v>
                </c:pt>
                <c:pt idx="52">
                  <c:v>0.52467567530024384</c:v>
                </c:pt>
                <c:pt idx="53">
                  <c:v>0.53318254674450405</c:v>
                </c:pt>
                <c:pt idx="54">
                  <c:v>0.54764957325940666</c:v>
                </c:pt>
                <c:pt idx="55">
                  <c:v>0.57203430233814423</c:v>
                </c:pt>
                <c:pt idx="56">
                  <c:v>0.61038998060987026</c:v>
                </c:pt>
                <c:pt idx="57">
                  <c:v>0.62493780063028692</c:v>
                </c:pt>
                <c:pt idx="58">
                  <c:v>0.60697025506715374</c:v>
                </c:pt>
                <c:pt idx="59">
                  <c:v>0.60214179353676722</c:v>
                </c:pt>
                <c:pt idx="60">
                  <c:v>0.59969054774271591</c:v>
                </c:pt>
                <c:pt idx="61">
                  <c:v>0.63433893773877104</c:v>
                </c:pt>
                <c:pt idx="62">
                  <c:v>0.6187753066653312</c:v>
                </c:pt>
                <c:pt idx="63">
                  <c:v>0.61133483305284986</c:v>
                </c:pt>
                <c:pt idx="64">
                  <c:v>0.58094739084441083</c:v>
                </c:pt>
                <c:pt idx="65">
                  <c:v>0.56588482180637212</c:v>
                </c:pt>
                <c:pt idx="66">
                  <c:v>0.57516564933316416</c:v>
                </c:pt>
                <c:pt idx="67">
                  <c:v>0.55967664828571473</c:v>
                </c:pt>
                <c:pt idx="68">
                  <c:v>0.63243842832343955</c:v>
                </c:pt>
                <c:pt idx="69">
                  <c:v>0.64371279751980337</c:v>
                </c:pt>
                <c:pt idx="70">
                  <c:v>0.6225101159439993</c:v>
                </c:pt>
                <c:pt idx="71">
                  <c:v>0.6138426194839347</c:v>
                </c:pt>
                <c:pt idx="72">
                  <c:v>0.61240998013022463</c:v>
                </c:pt>
                <c:pt idx="73">
                  <c:v>0.63969990676499511</c:v>
                </c:pt>
                <c:pt idx="74">
                  <c:v>0.65606708827840499</c:v>
                </c:pt>
                <c:pt idx="75">
                  <c:v>0.6504719289185793</c:v>
                </c:pt>
                <c:pt idx="76">
                  <c:v>0.61086965986261932</c:v>
                </c:pt>
                <c:pt idx="77">
                  <c:v>0.58989710063313505</c:v>
                </c:pt>
                <c:pt idx="78">
                  <c:v>0.59335978009272961</c:v>
                </c:pt>
                <c:pt idx="79">
                  <c:v>0.60623767543908402</c:v>
                </c:pt>
                <c:pt idx="80">
                  <c:v>0.62583903265877239</c:v>
                </c:pt>
                <c:pt idx="81">
                  <c:v>0.6126811230932151</c:v>
                </c:pt>
                <c:pt idx="82">
                  <c:v>0.59290329560297317</c:v>
                </c:pt>
                <c:pt idx="83">
                  <c:v>0.57503861164148684</c:v>
                </c:pt>
                <c:pt idx="84">
                  <c:v>0.5760102154167599</c:v>
                </c:pt>
                <c:pt idx="85">
                  <c:v>0.58136545009309804</c:v>
                </c:pt>
                <c:pt idx="86">
                  <c:v>0.58050978587880309</c:v>
                </c:pt>
                <c:pt idx="87">
                  <c:v>0.56320210679265525</c:v>
                </c:pt>
                <c:pt idx="88">
                  <c:v>0.50990815808835099</c:v>
                </c:pt>
                <c:pt idx="89">
                  <c:v>0.45498053375919773</c:v>
                </c:pt>
                <c:pt idx="90">
                  <c:v>0.44401320881902934</c:v>
                </c:pt>
                <c:pt idx="91">
                  <c:v>0.40410859041233299</c:v>
                </c:pt>
                <c:pt idx="92">
                  <c:v>0.41744883757660134</c:v>
                </c:pt>
                <c:pt idx="93">
                  <c:v>0.46433958863712393</c:v>
                </c:pt>
                <c:pt idx="94">
                  <c:v>0.45532068193110525</c:v>
                </c:pt>
                <c:pt idx="95">
                  <c:v>0.43635504883418563</c:v>
                </c:pt>
                <c:pt idx="96">
                  <c:v>0.4197932468540076</c:v>
                </c:pt>
                <c:pt idx="97">
                  <c:v>0.44195175393637759</c:v>
                </c:pt>
                <c:pt idx="98">
                  <c:v>0.43016285091637585</c:v>
                </c:pt>
                <c:pt idx="99">
                  <c:v>0.45586003210067988</c:v>
                </c:pt>
                <c:pt idx="100">
                  <c:v>0.41219852371967369</c:v>
                </c:pt>
                <c:pt idx="101">
                  <c:v>0.40307682858341282</c:v>
                </c:pt>
                <c:pt idx="102">
                  <c:v>0.38623753415501033</c:v>
                </c:pt>
                <c:pt idx="103">
                  <c:v>0.38309943239587385</c:v>
                </c:pt>
                <c:pt idx="104">
                  <c:v>0.39987575433283817</c:v>
                </c:pt>
                <c:pt idx="105">
                  <c:v>0.43452733534951105</c:v>
                </c:pt>
                <c:pt idx="106">
                  <c:v>0.44534029212941095</c:v>
                </c:pt>
                <c:pt idx="107">
                  <c:v>0.41220053235616011</c:v>
                </c:pt>
                <c:pt idx="108">
                  <c:v>0.39858729808948301</c:v>
                </c:pt>
                <c:pt idx="109">
                  <c:v>0.4136655321031672</c:v>
                </c:pt>
                <c:pt idx="110">
                  <c:v>0.42958000611853742</c:v>
                </c:pt>
                <c:pt idx="111">
                  <c:v>0.42009321941314537</c:v>
                </c:pt>
                <c:pt idx="112">
                  <c:v>0.39976127794901628</c:v>
                </c:pt>
                <c:pt idx="113">
                  <c:v>0.388298760069892</c:v>
                </c:pt>
                <c:pt idx="114">
                  <c:v>0.36802382389041149</c:v>
                </c:pt>
                <c:pt idx="115">
                  <c:v>0.35585887576409536</c:v>
                </c:pt>
                <c:pt idx="116">
                  <c:v>0.38000619610526853</c:v>
                </c:pt>
                <c:pt idx="117">
                  <c:v>0.41334661980070386</c:v>
                </c:pt>
                <c:pt idx="118">
                  <c:v>0.4056248324357235</c:v>
                </c:pt>
                <c:pt idx="119">
                  <c:v>0.38962644985040895</c:v>
                </c:pt>
                <c:pt idx="120">
                  <c:v>0.37733159913697478</c:v>
                </c:pt>
                <c:pt idx="121">
                  <c:v>0.39132504060473083</c:v>
                </c:pt>
                <c:pt idx="122">
                  <c:v>0.394274441436895</c:v>
                </c:pt>
                <c:pt idx="123">
                  <c:v>0.39906375844292141</c:v>
                </c:pt>
                <c:pt idx="124">
                  <c:v>0.35364014441753117</c:v>
                </c:pt>
                <c:pt idx="125">
                  <c:v>0.34580159205683469</c:v>
                </c:pt>
                <c:pt idx="126">
                  <c:v>0.3209004736090304</c:v>
                </c:pt>
                <c:pt idx="127">
                  <c:v>0.30074012776346765</c:v>
                </c:pt>
                <c:pt idx="128">
                  <c:v>0.35571686439209083</c:v>
                </c:pt>
                <c:pt idx="129">
                  <c:v>0.44541173895689323</c:v>
                </c:pt>
                <c:pt idx="130">
                  <c:v>0.38199984203459442</c:v>
                </c:pt>
                <c:pt idx="131">
                  <c:v>0.37402333103172586</c:v>
                </c:pt>
                <c:pt idx="132">
                  <c:v>0.38965629557043607</c:v>
                </c:pt>
                <c:pt idx="133">
                  <c:v>0.39426411738550465</c:v>
                </c:pt>
                <c:pt idx="134">
                  <c:v>0.39893218020562149</c:v>
                </c:pt>
                <c:pt idx="135">
                  <c:v>0.38056517188632155</c:v>
                </c:pt>
                <c:pt idx="136">
                  <c:v>0.37420498785799639</c:v>
                </c:pt>
                <c:pt idx="137">
                  <c:v>0.36298649722001586</c:v>
                </c:pt>
                <c:pt idx="138">
                  <c:v>0.34372998078155031</c:v>
                </c:pt>
                <c:pt idx="139">
                  <c:v>0.39889868689591435</c:v>
                </c:pt>
                <c:pt idx="140">
                  <c:v>0.42769281914893614</c:v>
                </c:pt>
                <c:pt idx="141">
                  <c:v>0.41236499364675983</c:v>
                </c:pt>
                <c:pt idx="142">
                  <c:v>0.37774770491203685</c:v>
                </c:pt>
                <c:pt idx="143">
                  <c:v>0.36989005752408183</c:v>
                </c:pt>
                <c:pt idx="144">
                  <c:v>0.39016965512120877</c:v>
                </c:pt>
                <c:pt idx="145">
                  <c:v>0.41841106453464072</c:v>
                </c:pt>
                <c:pt idx="146">
                  <c:v>0.41425540941875266</c:v>
                </c:pt>
                <c:pt idx="147">
                  <c:v>0.43015000821707339</c:v>
                </c:pt>
                <c:pt idx="148">
                  <c:v>0.38805049097579086</c:v>
                </c:pt>
                <c:pt idx="149">
                  <c:v>0.37496510862972132</c:v>
                </c:pt>
                <c:pt idx="150">
                  <c:v>0.37517592909581954</c:v>
                </c:pt>
                <c:pt idx="151">
                  <c:v>0.38221000518961484</c:v>
                </c:pt>
                <c:pt idx="152">
                  <c:v>0.40899837755632429</c:v>
                </c:pt>
                <c:pt idx="153">
                  <c:v>0.40341621902861519</c:v>
                </c:pt>
                <c:pt idx="154">
                  <c:v>0.39782013774205033</c:v>
                </c:pt>
                <c:pt idx="155">
                  <c:v>0.35941183838240254</c:v>
                </c:pt>
                <c:pt idx="156">
                  <c:v>0.3769709390484256</c:v>
                </c:pt>
                <c:pt idx="157">
                  <c:v>0.37536341453676814</c:v>
                </c:pt>
                <c:pt idx="158">
                  <c:v>0.39098801042720127</c:v>
                </c:pt>
                <c:pt idx="159">
                  <c:v>0.36620495938957232</c:v>
                </c:pt>
                <c:pt idx="160">
                  <c:v>0.33283184340046224</c:v>
                </c:pt>
                <c:pt idx="161">
                  <c:v>0.3445546803998788</c:v>
                </c:pt>
                <c:pt idx="162">
                  <c:v>0.34196471324910677</c:v>
                </c:pt>
                <c:pt idx="163" formatCode="0%">
                  <c:v>0.4</c:v>
                </c:pt>
                <c:pt idx="164" formatCode="0%">
                  <c:v>0.41</c:v>
                </c:pt>
                <c:pt idx="165" formatCode="0%">
                  <c:v>0.41</c:v>
                </c:pt>
                <c:pt idx="166" formatCode="0%">
                  <c:v>0.41</c:v>
                </c:pt>
                <c:pt idx="167" formatCode="0%">
                  <c:v>0.41</c:v>
                </c:pt>
                <c:pt idx="168" formatCode="0%">
                  <c:v>0.41</c:v>
                </c:pt>
                <c:pt idx="169" formatCode="0%">
                  <c:v>0.41</c:v>
                </c:pt>
                <c:pt idx="170" formatCode="0%">
                  <c:v>0.42</c:v>
                </c:pt>
                <c:pt idx="171" formatCode="0%">
                  <c:v>0.42</c:v>
                </c:pt>
                <c:pt idx="172" formatCode="0%">
                  <c:v>0.42</c:v>
                </c:pt>
                <c:pt idx="173" formatCode="0%">
                  <c:v>0.41</c:v>
                </c:pt>
                <c:pt idx="174" formatCode="0%">
                  <c:v>0.41</c:v>
                </c:pt>
                <c:pt idx="175" formatCode="0%">
                  <c:v>0.4</c:v>
                </c:pt>
                <c:pt idx="176" formatCode="0%">
                  <c:v>0.4</c:v>
                </c:pt>
                <c:pt idx="177" formatCode="0%">
                  <c:v>0.4</c:v>
                </c:pt>
                <c:pt idx="178" formatCode="0%">
                  <c:v>0.4</c:v>
                </c:pt>
                <c:pt idx="179" formatCode="0%">
                  <c:v>0.39</c:v>
                </c:pt>
                <c:pt idx="180" formatCode="0%">
                  <c:v>0.4</c:v>
                </c:pt>
                <c:pt idx="181" formatCode="0%">
                  <c:v>0.4</c:v>
                </c:pt>
                <c:pt idx="182" formatCode="0%">
                  <c:v>0.4</c:v>
                </c:pt>
                <c:pt idx="183" formatCode="0%">
                  <c:v>0.4</c:v>
                </c:pt>
                <c:pt idx="184" formatCode="0%">
                  <c:v>0.4</c:v>
                </c:pt>
                <c:pt idx="185" formatCode="0%">
                  <c:v>0.4</c:v>
                </c:pt>
                <c:pt idx="186" formatCode="0%">
                  <c:v>0.4</c:v>
                </c:pt>
                <c:pt idx="187" formatCode="0%">
                  <c:v>0.39</c:v>
                </c:pt>
                <c:pt idx="188" formatCode="0%">
                  <c:v>0.39</c:v>
                </c:pt>
                <c:pt idx="189" formatCode="0%">
                  <c:v>0.37</c:v>
                </c:pt>
                <c:pt idx="190" formatCode="0%">
                  <c:v>0.36</c:v>
                </c:pt>
                <c:pt idx="191" formatCode="0%">
                  <c:v>0.36</c:v>
                </c:pt>
                <c:pt idx="192" formatCode="0%">
                  <c:v>0.35</c:v>
                </c:pt>
                <c:pt idx="193" formatCode="0%">
                  <c:v>0.34</c:v>
                </c:pt>
                <c:pt idx="194" formatCode="0%">
                  <c:v>0.34</c:v>
                </c:pt>
                <c:pt idx="195" formatCode="0%">
                  <c:v>0.34</c:v>
                </c:pt>
                <c:pt idx="196" formatCode="0%">
                  <c:v>0.33</c:v>
                </c:pt>
                <c:pt idx="198" formatCode="0%">
                  <c:v>0.33</c:v>
                </c:pt>
                <c:pt idx="199" formatCode="0%">
                  <c:v>0.33</c:v>
                </c:pt>
                <c:pt idx="200" formatCode="0%">
                  <c:v>0.35</c:v>
                </c:pt>
                <c:pt idx="201" formatCode="0%">
                  <c:v>0.38</c:v>
                </c:pt>
                <c:pt idx="202" formatCode="0%">
                  <c:v>0.39</c:v>
                </c:pt>
                <c:pt idx="203" formatCode="0%">
                  <c:v>0.39</c:v>
                </c:pt>
                <c:pt idx="204" formatCode="0%">
                  <c:v>0.39</c:v>
                </c:pt>
                <c:pt idx="205" formatCode="0%">
                  <c:v>0.42</c:v>
                </c:pt>
                <c:pt idx="206" formatCode="0%">
                  <c:v>0.44</c:v>
                </c:pt>
                <c:pt idx="207" formatCode="0%">
                  <c:v>0.49</c:v>
                </c:pt>
                <c:pt idx="208" formatCode="0%">
                  <c:v>0.5</c:v>
                </c:pt>
                <c:pt idx="209" formatCode="0%">
                  <c:v>0.49</c:v>
                </c:pt>
                <c:pt idx="210" formatCode="0%">
                  <c:v>0.49</c:v>
                </c:pt>
                <c:pt idx="211" formatCode="0%">
                  <c:v>0.48</c:v>
                </c:pt>
                <c:pt idx="212" formatCode="0%">
                  <c:v>0.46</c:v>
                </c:pt>
                <c:pt idx="213" formatCode="0%">
                  <c:v>0.45</c:v>
                </c:pt>
                <c:pt idx="214" formatCode="0%">
                  <c:v>0.44</c:v>
                </c:pt>
                <c:pt idx="215" formatCode="0%">
                  <c:v>0.43</c:v>
                </c:pt>
                <c:pt idx="216" formatCode="0%">
                  <c:v>0.41</c:v>
                </c:pt>
                <c:pt idx="217" formatCode="0%">
                  <c:v>0.41</c:v>
                </c:pt>
                <c:pt idx="218" formatCode="0%">
                  <c:v>0.39</c:v>
                </c:pt>
                <c:pt idx="219" formatCode="0%">
                  <c:v>0.37</c:v>
                </c:pt>
                <c:pt idx="220" formatCode="0%">
                  <c:v>0.3</c:v>
                </c:pt>
                <c:pt idx="221" formatCode="0%">
                  <c:v>0.3</c:v>
                </c:pt>
                <c:pt idx="222" formatCode="0%">
                  <c:v>0.32</c:v>
                </c:pt>
                <c:pt idx="223" formatCode="0%">
                  <c:v>0.33</c:v>
                </c:pt>
                <c:pt idx="224" formatCode="0%">
                  <c:v>0.3</c:v>
                </c:pt>
                <c:pt idx="225" formatCode="0%">
                  <c:v>0.3</c:v>
                </c:pt>
                <c:pt idx="226" formatCode="0%">
                  <c:v>2.8000000000000004E-3</c:v>
                </c:pt>
                <c:pt idx="227" formatCode="0%">
                  <c:v>2.7000000000000001E-3</c:v>
                </c:pt>
                <c:pt idx="228" formatCode="0%">
                  <c:v>0</c:v>
                </c:pt>
                <c:pt idx="229" formatCode="0%">
                  <c:v>0</c:v>
                </c:pt>
              </c:numCache>
            </c:numRef>
          </c:val>
          <c:smooth val="0"/>
          <c:extLst>
            <c:ext xmlns:c16="http://schemas.microsoft.com/office/drawing/2014/chart" uri="{C3380CC4-5D6E-409C-BE32-E72D297353CC}">
              <c16:uniqueId val="{00000001-5486-E742-AEFB-7662EC6632B4}"/>
            </c:ext>
          </c:extLst>
        </c:ser>
        <c:ser>
          <c:idx val="2"/>
          <c:order val="2"/>
          <c:tx>
            <c:v>MPS</c:v>
          </c:tx>
          <c:spPr>
            <a:ln w="31750" cmpd="sng">
              <a:solidFill>
                <a:srgbClr val="FFC000"/>
              </a:solidFill>
              <a:prstDash val="sysDot"/>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Load!$AJ$6:$AJ$235</c:f>
              <c:numCache>
                <c:formatCode>0.0%</c:formatCode>
                <c:ptCount val="230"/>
                <c:pt idx="3">
                  <c:v>0.38794090440075951</c:v>
                </c:pt>
                <c:pt idx="4">
                  <c:v>0.38100000000000001</c:v>
                </c:pt>
                <c:pt idx="5">
                  <c:v>0.33975317963440749</c:v>
                </c:pt>
                <c:pt idx="6">
                  <c:v>0.34933350699963683</c:v>
                </c:pt>
                <c:pt idx="7">
                  <c:v>0.35492123375736295</c:v>
                </c:pt>
                <c:pt idx="8">
                  <c:v>0.37110775668632562</c:v>
                </c:pt>
                <c:pt idx="9">
                  <c:v>0.43545506689915087</c:v>
                </c:pt>
                <c:pt idx="10">
                  <c:v>0.39671890866067372</c:v>
                </c:pt>
                <c:pt idx="11">
                  <c:v>0.40193306258944683</c:v>
                </c:pt>
                <c:pt idx="12">
                  <c:v>0.43737101512613208</c:v>
                </c:pt>
                <c:pt idx="13">
                  <c:v>0.42709236497169378</c:v>
                </c:pt>
                <c:pt idx="14">
                  <c:v>0.40882734323391967</c:v>
                </c:pt>
                <c:pt idx="15">
                  <c:v>0.39013057014079267</c:v>
                </c:pt>
                <c:pt idx="16">
                  <c:v>0.39176483354841019</c:v>
                </c:pt>
                <c:pt idx="17">
                  <c:v>0.34618952841577538</c:v>
                </c:pt>
                <c:pt idx="18">
                  <c:v>0.33628846582060729</c:v>
                </c:pt>
                <c:pt idx="19">
                  <c:v>0.36089335242154791</c:v>
                </c:pt>
                <c:pt idx="20">
                  <c:v>0.40602399001409023</c:v>
                </c:pt>
                <c:pt idx="21">
                  <c:v>0.43858788519190617</c:v>
                </c:pt>
                <c:pt idx="22">
                  <c:v>0.41248596691339223</c:v>
                </c:pt>
                <c:pt idx="23">
                  <c:v>0.42774227586875313</c:v>
                </c:pt>
                <c:pt idx="24">
                  <c:v>0.42675936160785932</c:v>
                </c:pt>
                <c:pt idx="25">
                  <c:v>0.42694013517893853</c:v>
                </c:pt>
                <c:pt idx="26">
                  <c:v>0.42253765358699963</c:v>
                </c:pt>
                <c:pt idx="27">
                  <c:v>0.38193051993471672</c:v>
                </c:pt>
                <c:pt idx="28">
                  <c:v>0.382281130101151</c:v>
                </c:pt>
                <c:pt idx="29">
                  <c:v>0.36878911382819984</c:v>
                </c:pt>
                <c:pt idx="30">
                  <c:v>0.35180366646954458</c:v>
                </c:pt>
                <c:pt idx="31">
                  <c:v>0.31947901591895805</c:v>
                </c:pt>
                <c:pt idx="32">
                  <c:v>0.36401691604233305</c:v>
                </c:pt>
                <c:pt idx="33">
                  <c:v>0.56624017643043423</c:v>
                </c:pt>
                <c:pt idx="34">
                  <c:v>0.40205727817657061</c:v>
                </c:pt>
                <c:pt idx="35">
                  <c:v>0.3854633528000363</c:v>
                </c:pt>
                <c:pt idx="36">
                  <c:v>0.32204699066623749</c:v>
                </c:pt>
                <c:pt idx="37">
                  <c:v>0.40413852419620055</c:v>
                </c:pt>
                <c:pt idx="38">
                  <c:v>0.39162387999597309</c:v>
                </c:pt>
                <c:pt idx="39">
                  <c:v>0.35576322546320926</c:v>
                </c:pt>
                <c:pt idx="40">
                  <c:v>0.34780205764815914</c:v>
                </c:pt>
                <c:pt idx="41">
                  <c:v>0.35862218370883886</c:v>
                </c:pt>
                <c:pt idx="42">
                  <c:v>0.32203590577737368</c:v>
                </c:pt>
                <c:pt idx="43">
                  <c:v>0.34693556364944472</c:v>
                </c:pt>
                <c:pt idx="44">
                  <c:v>0.3391585285263235</c:v>
                </c:pt>
                <c:pt idx="45">
                  <c:v>0.32660973570179663</c:v>
                </c:pt>
                <c:pt idx="46">
                  <c:v>0.31349836293283062</c:v>
                </c:pt>
                <c:pt idx="47">
                  <c:v>0.33023026778595888</c:v>
                </c:pt>
                <c:pt idx="48">
                  <c:v>0.31931048635337578</c:v>
                </c:pt>
                <c:pt idx="49">
                  <c:v>0.33886497648844327</c:v>
                </c:pt>
                <c:pt idx="50">
                  <c:v>0.30258508461967643</c:v>
                </c:pt>
                <c:pt idx="51">
                  <c:v>0.27755839635901214</c:v>
                </c:pt>
                <c:pt idx="52">
                  <c:v>0.29191732554142319</c:v>
                </c:pt>
                <c:pt idx="53">
                  <c:v>0.25307553428223534</c:v>
                </c:pt>
                <c:pt idx="54">
                  <c:v>0.25409431322524895</c:v>
                </c:pt>
                <c:pt idx="55">
                  <c:v>0.26007211859502288</c:v>
                </c:pt>
                <c:pt idx="56">
                  <c:v>0.31368881331227982</c:v>
                </c:pt>
                <c:pt idx="57">
                  <c:v>0.36310395314787702</c:v>
                </c:pt>
                <c:pt idx="58">
                  <c:v>0.35189985926968365</c:v>
                </c:pt>
                <c:pt idx="59">
                  <c:v>0.35556862283899798</c:v>
                </c:pt>
                <c:pt idx="60">
                  <c:v>0.36955332272184643</c:v>
                </c:pt>
                <c:pt idx="61">
                  <c:v>0.36799549664807324</c:v>
                </c:pt>
                <c:pt idx="62">
                  <c:v>0.34555747601512993</c:v>
                </c:pt>
                <c:pt idx="63">
                  <c:v>0.3112211140245546</c:v>
                </c:pt>
                <c:pt idx="64">
                  <c:v>0.32121741027598999</c:v>
                </c:pt>
                <c:pt idx="65">
                  <c:v>0.3045452726763494</c:v>
                </c:pt>
                <c:pt idx="66">
                  <c:v>0.28056957878916339</c:v>
                </c:pt>
                <c:pt idx="67">
                  <c:v>0.31303003533568907</c:v>
                </c:pt>
                <c:pt idx="68">
                  <c:v>0.31174001678858376</c:v>
                </c:pt>
                <c:pt idx="69">
                  <c:v>0.35400178076770866</c:v>
                </c:pt>
                <c:pt idx="70">
                  <c:v>0.32996650895752483</c:v>
                </c:pt>
                <c:pt idx="71">
                  <c:v>0.3386551888090889</c:v>
                </c:pt>
                <c:pt idx="72">
                  <c:v>0.36410888695483995</c:v>
                </c:pt>
                <c:pt idx="73">
                  <c:v>0.35625394906733326</c:v>
                </c:pt>
                <c:pt idx="74">
                  <c:v>0.34806657615527736</c:v>
                </c:pt>
                <c:pt idx="75">
                  <c:v>0.35113491087150539</c:v>
                </c:pt>
                <c:pt idx="76">
                  <c:v>0.32716118712795744</c:v>
                </c:pt>
                <c:pt idx="77">
                  <c:v>0.27877184577249153</c:v>
                </c:pt>
                <c:pt idx="78">
                  <c:v>0.29813874788494077</c:v>
                </c:pt>
                <c:pt idx="79">
                  <c:v>0.30086764401279603</c:v>
                </c:pt>
                <c:pt idx="80">
                  <c:v>0.30492866407263292</c:v>
                </c:pt>
                <c:pt idx="81">
                  <c:v>0.37085133659370401</c:v>
                </c:pt>
                <c:pt idx="82">
                  <c:v>0.33206945243449609</c:v>
                </c:pt>
                <c:pt idx="83">
                  <c:v>0.3030150374045994</c:v>
                </c:pt>
                <c:pt idx="84">
                  <c:v>0.36078657026344096</c:v>
                </c:pt>
                <c:pt idx="85">
                  <c:v>0.34796612811055116</c:v>
                </c:pt>
                <c:pt idx="86">
                  <c:v>0.3244828736654804</c:v>
                </c:pt>
                <c:pt idx="87">
                  <c:v>0.33982065431612141</c:v>
                </c:pt>
                <c:pt idx="88">
                  <c:v>0.31636263382805685</c:v>
                </c:pt>
                <c:pt idx="89">
                  <c:v>0.24478404717427019</c:v>
                </c:pt>
                <c:pt idx="90">
                  <c:v>0.24176164519326065</c:v>
                </c:pt>
                <c:pt idx="91">
                  <c:v>0.24290138780528164</c:v>
                </c:pt>
                <c:pt idx="92">
                  <c:v>0.26004692348444713</c:v>
                </c:pt>
                <c:pt idx="93">
                  <c:v>0.30034731089432559</c:v>
                </c:pt>
                <c:pt idx="94">
                  <c:v>0.24635004617035614</c:v>
                </c:pt>
                <c:pt idx="95">
                  <c:v>0.28197551709582103</c:v>
                </c:pt>
                <c:pt idx="96">
                  <c:v>0.24965791097636231</c:v>
                </c:pt>
                <c:pt idx="97">
                  <c:v>0.2656337597472096</c:v>
                </c:pt>
                <c:pt idx="98">
                  <c:v>0.28083996214543316</c:v>
                </c:pt>
                <c:pt idx="99">
                  <c:v>0.24365672574556907</c:v>
                </c:pt>
                <c:pt idx="100">
                  <c:v>0.24287328350425869</c:v>
                </c:pt>
                <c:pt idx="101">
                  <c:v>0.22532072923700203</c:v>
                </c:pt>
                <c:pt idx="102">
                  <c:v>0.21791751911273824</c:v>
                </c:pt>
                <c:pt idx="103">
                  <c:v>0.22418199820396509</c:v>
                </c:pt>
                <c:pt idx="104">
                  <c:v>0.25742838431125242</c:v>
                </c:pt>
                <c:pt idx="105">
                  <c:v>0.2603340558459773</c:v>
                </c:pt>
                <c:pt idx="106">
                  <c:v>0.24518756169792696</c:v>
                </c:pt>
                <c:pt idx="107">
                  <c:v>0.25889741800418703</c:v>
                </c:pt>
                <c:pt idx="108">
                  <c:v>0.24582875173304011</c:v>
                </c:pt>
                <c:pt idx="109">
                  <c:v>0.28198629965121824</c:v>
                </c:pt>
                <c:pt idx="110">
                  <c:v>0.26084025455722137</c:v>
                </c:pt>
                <c:pt idx="111">
                  <c:v>0.24532576552513591</c:v>
                </c:pt>
                <c:pt idx="112">
                  <c:v>0.25321552656404595</c:v>
                </c:pt>
                <c:pt idx="113">
                  <c:v>0.23226874941496603</c:v>
                </c:pt>
                <c:pt idx="114">
                  <c:v>0.20244990775303559</c:v>
                </c:pt>
                <c:pt idx="115">
                  <c:v>0.21685648847825745</c:v>
                </c:pt>
                <c:pt idx="116">
                  <c:v>0.219372055005289</c:v>
                </c:pt>
                <c:pt idx="117">
                  <c:v>0.2278779139629897</c:v>
                </c:pt>
                <c:pt idx="118">
                  <c:v>0.23261261746412129</c:v>
                </c:pt>
                <c:pt idx="119">
                  <c:v>0.25271958098307817</c:v>
                </c:pt>
                <c:pt idx="120">
                  <c:v>0.29237823769983889</c:v>
                </c:pt>
                <c:pt idx="121">
                  <c:v>0.3127357643254895</c:v>
                </c:pt>
                <c:pt idx="122">
                  <c:v>0.27278555401218085</c:v>
                </c:pt>
                <c:pt idx="123">
                  <c:v>0.24168669871794868</c:v>
                </c:pt>
                <c:pt idx="124">
                  <c:v>0.25090076820231594</c:v>
                </c:pt>
                <c:pt idx="125">
                  <c:v>0.25753740451114226</c:v>
                </c:pt>
                <c:pt idx="126">
                  <c:v>0.19341061622940817</c:v>
                </c:pt>
                <c:pt idx="127">
                  <c:v>0.22886597938144329</c:v>
                </c:pt>
                <c:pt idx="128">
                  <c:v>0.24580347501717881</c:v>
                </c:pt>
                <c:pt idx="129">
                  <c:v>0.25597330157981829</c:v>
                </c:pt>
                <c:pt idx="130">
                  <c:v>0.26372832369942195</c:v>
                </c:pt>
                <c:pt idx="131">
                  <c:v>0.25605536332179929</c:v>
                </c:pt>
                <c:pt idx="132">
                  <c:v>0.28550829127613553</c:v>
                </c:pt>
                <c:pt idx="133">
                  <c:v>0.2560727741423755</c:v>
                </c:pt>
                <c:pt idx="134">
                  <c:v>0.23857961901239133</c:v>
                </c:pt>
                <c:pt idx="135">
                  <c:v>0.24225941422594141</c:v>
                </c:pt>
                <c:pt idx="136">
                  <c:v>0.22849968612680477</c:v>
                </c:pt>
                <c:pt idx="137">
                  <c:v>0.23285599229968371</c:v>
                </c:pt>
                <c:pt idx="138">
                  <c:v>0.23699421965317918</c:v>
                </c:pt>
                <c:pt idx="139">
                  <c:v>0.25282285714285718</c:v>
                </c:pt>
                <c:pt idx="140">
                  <c:v>0.2903268174156689</c:v>
                </c:pt>
                <c:pt idx="141">
                  <c:v>0.26549517048760618</c:v>
                </c:pt>
                <c:pt idx="142">
                  <c:v>0.27474464335010934</c:v>
                </c:pt>
                <c:pt idx="143">
                  <c:v>0.27447327261017579</c:v>
                </c:pt>
                <c:pt idx="144">
                  <c:v>0.27803137382116461</c:v>
                </c:pt>
                <c:pt idx="145">
                  <c:v>0.28605845720260015</c:v>
                </c:pt>
                <c:pt idx="146">
                  <c:v>0.33225388601036271</c:v>
                </c:pt>
                <c:pt idx="147">
                  <c:v>0.32279822309165751</c:v>
                </c:pt>
                <c:pt idx="148">
                  <c:v>0.30430164630908124</c:v>
                </c:pt>
                <c:pt idx="149">
                  <c:v>0.31725346012435274</c:v>
                </c:pt>
                <c:pt idx="150">
                  <c:v>0.33253517545346672</c:v>
                </c:pt>
                <c:pt idx="151">
                  <c:v>0.32937048872600505</c:v>
                </c:pt>
                <c:pt idx="152">
                  <c:v>0.36358233921732624</c:v>
                </c:pt>
                <c:pt idx="153">
                  <c:v>0.34871048925215298</c:v>
                </c:pt>
                <c:pt idx="154">
                  <c:v>0.34131493506493504</c:v>
                </c:pt>
                <c:pt idx="155">
                  <c:v>0.35065104733702041</c:v>
                </c:pt>
                <c:pt idx="156">
                  <c:v>0.36800653668943922</c:v>
                </c:pt>
                <c:pt idx="157">
                  <c:v>0.3917176298128679</c:v>
                </c:pt>
                <c:pt idx="158">
                  <c:v>0.35766305600368747</c:v>
                </c:pt>
                <c:pt idx="159">
                  <c:v>0.40598853345758795</c:v>
                </c:pt>
                <c:pt idx="160">
                  <c:v>0.39106548765540183</c:v>
                </c:pt>
                <c:pt idx="161">
                  <c:v>0.36981595562976183</c:v>
                </c:pt>
                <c:pt idx="162">
                  <c:v>0.38991080808288875</c:v>
                </c:pt>
                <c:pt idx="163" formatCode="0%">
                  <c:v>0.4</c:v>
                </c:pt>
                <c:pt idx="164" formatCode="0%">
                  <c:v>0.39</c:v>
                </c:pt>
                <c:pt idx="165" formatCode="0%">
                  <c:v>0.4</c:v>
                </c:pt>
                <c:pt idx="166" formatCode="0%">
                  <c:v>0.4</c:v>
                </c:pt>
                <c:pt idx="167" formatCode="0%">
                  <c:v>0.41</c:v>
                </c:pt>
                <c:pt idx="168" formatCode="0%">
                  <c:v>0.41</c:v>
                </c:pt>
                <c:pt idx="169" formatCode="0%">
                  <c:v>0.43</c:v>
                </c:pt>
                <c:pt idx="170" formatCode="0%">
                  <c:v>0.46</c:v>
                </c:pt>
                <c:pt idx="171" formatCode="0%">
                  <c:v>0.51</c:v>
                </c:pt>
                <c:pt idx="172" formatCode="0%">
                  <c:v>0.51</c:v>
                </c:pt>
                <c:pt idx="173" formatCode="0%">
                  <c:v>0.51</c:v>
                </c:pt>
                <c:pt idx="174" formatCode="0%">
                  <c:v>0.51</c:v>
                </c:pt>
                <c:pt idx="175" formatCode="0%">
                  <c:v>0.51</c:v>
                </c:pt>
                <c:pt idx="176" formatCode="0%">
                  <c:v>0.51</c:v>
                </c:pt>
                <c:pt idx="177" formatCode="0%">
                  <c:v>0.51</c:v>
                </c:pt>
                <c:pt idx="178" formatCode="0%">
                  <c:v>0.51</c:v>
                </c:pt>
                <c:pt idx="179" formatCode="0%">
                  <c:v>0.51</c:v>
                </c:pt>
                <c:pt idx="180" formatCode="0%">
                  <c:v>0.51</c:v>
                </c:pt>
                <c:pt idx="181" formatCode="0%">
                  <c:v>0.47</c:v>
                </c:pt>
                <c:pt idx="182" formatCode="0%">
                  <c:v>0.48</c:v>
                </c:pt>
                <c:pt idx="183" formatCode="0%">
                  <c:v>0.47</c:v>
                </c:pt>
                <c:pt idx="184" formatCode="0%">
                  <c:v>0.53</c:v>
                </c:pt>
                <c:pt idx="185" formatCode="0%">
                  <c:v>0.53</c:v>
                </c:pt>
                <c:pt idx="186" formatCode="0%">
                  <c:v>0.53</c:v>
                </c:pt>
                <c:pt idx="187" formatCode="0%">
                  <c:v>0.54</c:v>
                </c:pt>
                <c:pt idx="188" formatCode="0%">
                  <c:v>0.51</c:v>
                </c:pt>
                <c:pt idx="189" formatCode="0%">
                  <c:v>0.55000000000000004</c:v>
                </c:pt>
                <c:pt idx="190" formatCode="0%">
                  <c:v>0.52</c:v>
                </c:pt>
                <c:pt idx="191" formatCode="0%">
                  <c:v>0.54</c:v>
                </c:pt>
                <c:pt idx="192" formatCode="0%">
                  <c:v>0.59</c:v>
                </c:pt>
                <c:pt idx="193" formatCode="0%">
                  <c:v>0.6</c:v>
                </c:pt>
                <c:pt idx="194" formatCode="0%">
                  <c:v>0.59</c:v>
                </c:pt>
                <c:pt idx="195" formatCode="0%">
                  <c:v>0.57999999999999996</c:v>
                </c:pt>
                <c:pt idx="196" formatCode="0%">
                  <c:v>0.57999999999999996</c:v>
                </c:pt>
                <c:pt idx="198" formatCode="0%">
                  <c:v>0.56999999999999995</c:v>
                </c:pt>
                <c:pt idx="199" formatCode="0%">
                  <c:v>0.59</c:v>
                </c:pt>
                <c:pt idx="200" formatCode="0%">
                  <c:v>0.59</c:v>
                </c:pt>
                <c:pt idx="201" formatCode="0%">
                  <c:v>0.57999999999999996</c:v>
                </c:pt>
                <c:pt idx="202" formatCode="0%">
                  <c:v>0.56999999999999995</c:v>
                </c:pt>
                <c:pt idx="203" formatCode="0%">
                  <c:v>0.56999999999999995</c:v>
                </c:pt>
                <c:pt idx="204" formatCode="0%">
                  <c:v>0.57999999999999996</c:v>
                </c:pt>
                <c:pt idx="205" formatCode="0%">
                  <c:v>0.56999999999999995</c:v>
                </c:pt>
                <c:pt idx="206" formatCode="0%">
                  <c:v>0.52</c:v>
                </c:pt>
                <c:pt idx="207" formatCode="0%">
                  <c:v>0.49</c:v>
                </c:pt>
                <c:pt idx="208" formatCode="0%">
                  <c:v>0.48</c:v>
                </c:pt>
                <c:pt idx="209" formatCode="0%">
                  <c:v>0.47</c:v>
                </c:pt>
                <c:pt idx="210" formatCode="0%">
                  <c:v>0.42</c:v>
                </c:pt>
                <c:pt idx="211" formatCode="0%">
                  <c:v>0.41</c:v>
                </c:pt>
                <c:pt idx="212" formatCode="0%">
                  <c:v>0.38</c:v>
                </c:pt>
                <c:pt idx="213" formatCode="0%">
                  <c:v>0.35</c:v>
                </c:pt>
                <c:pt idx="214" formatCode="0%">
                  <c:v>0.28000000000000003</c:v>
                </c:pt>
                <c:pt idx="215" formatCode="0%">
                  <c:v>0.4</c:v>
                </c:pt>
                <c:pt idx="216" formatCode="0%">
                  <c:v>0.39</c:v>
                </c:pt>
                <c:pt idx="217" formatCode="0%">
                  <c:v>0.38</c:v>
                </c:pt>
                <c:pt idx="218" formatCode="0%">
                  <c:v>0.34</c:v>
                </c:pt>
                <c:pt idx="219" formatCode="0%">
                  <c:v>0.32</c:v>
                </c:pt>
                <c:pt idx="220" formatCode="0%">
                  <c:v>0.39</c:v>
                </c:pt>
                <c:pt idx="221" formatCode="0%">
                  <c:v>0.37</c:v>
                </c:pt>
                <c:pt idx="222" formatCode="0%">
                  <c:v>0.39</c:v>
                </c:pt>
                <c:pt idx="223" formatCode="0%">
                  <c:v>0.38</c:v>
                </c:pt>
                <c:pt idx="224" formatCode="0%">
                  <c:v>0.38</c:v>
                </c:pt>
                <c:pt idx="225" formatCode="0%">
                  <c:v>0.36</c:v>
                </c:pt>
                <c:pt idx="226" formatCode="0%">
                  <c:v>3.2000000000000002E-3</c:v>
                </c:pt>
                <c:pt idx="227" formatCode="0%">
                  <c:v>3.0000000000000001E-3</c:v>
                </c:pt>
                <c:pt idx="228" formatCode="0%">
                  <c:v>0</c:v>
                </c:pt>
                <c:pt idx="229" formatCode="0%">
                  <c:v>0</c:v>
                </c:pt>
              </c:numCache>
            </c:numRef>
          </c:val>
          <c:smooth val="0"/>
          <c:extLst>
            <c:ext xmlns:c16="http://schemas.microsoft.com/office/drawing/2014/chart" uri="{C3380CC4-5D6E-409C-BE32-E72D297353CC}">
              <c16:uniqueId val="{00000002-5486-E742-AEFB-7662EC6632B4}"/>
            </c:ext>
          </c:extLst>
        </c:ser>
        <c:ser>
          <c:idx val="3"/>
          <c:order val="3"/>
          <c:tx>
            <c:v>Statewide</c:v>
          </c:tx>
          <c:spPr>
            <a:ln w="34925">
              <a:solidFill>
                <a:srgbClr val="00B0F0"/>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Load!$AM$6:$AM$235</c:f>
              <c:numCache>
                <c:formatCode>0.0%</c:formatCode>
                <c:ptCount val="230"/>
                <c:pt idx="2">
                  <c:v>0.52796089775977162</c:v>
                </c:pt>
                <c:pt idx="3">
                  <c:v>0.45535053570663619</c:v>
                </c:pt>
                <c:pt idx="4">
                  <c:v>0.47521177370014056</c:v>
                </c:pt>
                <c:pt idx="5">
                  <c:v>0.38355434586563592</c:v>
                </c:pt>
                <c:pt idx="6">
                  <c:v>0.47591552653702651</c:v>
                </c:pt>
                <c:pt idx="7">
                  <c:v>0.40998598957940879</c:v>
                </c:pt>
                <c:pt idx="8">
                  <c:v>0.48791105834398985</c:v>
                </c:pt>
                <c:pt idx="9">
                  <c:v>0.50832543100989724</c:v>
                </c:pt>
                <c:pt idx="10">
                  <c:v>0.50401313668342063</c:v>
                </c:pt>
                <c:pt idx="11">
                  <c:v>0.51265005728460367</c:v>
                </c:pt>
                <c:pt idx="12">
                  <c:v>0.47406506530015918</c:v>
                </c:pt>
                <c:pt idx="13">
                  <c:v>0.51025232855561908</c:v>
                </c:pt>
                <c:pt idx="14">
                  <c:v>0.51478071639581535</c:v>
                </c:pt>
                <c:pt idx="15">
                  <c:v>0.48660545598323118</c:v>
                </c:pt>
                <c:pt idx="16">
                  <c:v>0.44681140409343151</c:v>
                </c:pt>
                <c:pt idx="17">
                  <c:v>0.42321284211777849</c:v>
                </c:pt>
                <c:pt idx="18">
                  <c:v>0.47549985999819006</c:v>
                </c:pt>
                <c:pt idx="19">
                  <c:v>0.46715881217904903</c:v>
                </c:pt>
                <c:pt idx="20">
                  <c:v>0.43294118834632073</c:v>
                </c:pt>
                <c:pt idx="21">
                  <c:v>0.55944755348109076</c:v>
                </c:pt>
                <c:pt idx="22">
                  <c:v>0.51847920088420829</c:v>
                </c:pt>
                <c:pt idx="23">
                  <c:v>0.52143107508753517</c:v>
                </c:pt>
                <c:pt idx="24">
                  <c:v>0.50710993122699577</c:v>
                </c:pt>
                <c:pt idx="25">
                  <c:v>0.51840219142693855</c:v>
                </c:pt>
                <c:pt idx="26">
                  <c:v>0.52208258329122847</c:v>
                </c:pt>
                <c:pt idx="27">
                  <c:v>0.49735362962453322</c:v>
                </c:pt>
                <c:pt idx="28">
                  <c:v>0.49016048152208097</c:v>
                </c:pt>
                <c:pt idx="29">
                  <c:v>0.44939655158426622</c:v>
                </c:pt>
                <c:pt idx="30">
                  <c:v>0.46853772360758233</c:v>
                </c:pt>
                <c:pt idx="31">
                  <c:v>0.49884028069874525</c:v>
                </c:pt>
                <c:pt idx="32">
                  <c:v>0.53572128724364154</c:v>
                </c:pt>
                <c:pt idx="33">
                  <c:v>0.5697205400449411</c:v>
                </c:pt>
                <c:pt idx="34">
                  <c:v>0.51797730730098301</c:v>
                </c:pt>
                <c:pt idx="35">
                  <c:v>0.54859129536087348</c:v>
                </c:pt>
                <c:pt idx="36">
                  <c:v>0.51434781699579113</c:v>
                </c:pt>
                <c:pt idx="37">
                  <c:v>0.55270821323871699</c:v>
                </c:pt>
                <c:pt idx="38">
                  <c:v>0.53627291041668668</c:v>
                </c:pt>
                <c:pt idx="39">
                  <c:v>0.50909676974913998</c:v>
                </c:pt>
                <c:pt idx="40">
                  <c:v>0.50857183647033877</c:v>
                </c:pt>
                <c:pt idx="41">
                  <c:v>0.49686598821440003</c:v>
                </c:pt>
                <c:pt idx="42">
                  <c:v>0.49862130186124681</c:v>
                </c:pt>
                <c:pt idx="43">
                  <c:v>0.50502957566070539</c:v>
                </c:pt>
                <c:pt idx="44">
                  <c:v>0.52335877428491373</c:v>
                </c:pt>
                <c:pt idx="45">
                  <c:v>0.54836826944152861</c:v>
                </c:pt>
                <c:pt idx="46">
                  <c:v>0.53964316146438962</c:v>
                </c:pt>
                <c:pt idx="47">
                  <c:v>0.53552516588866006</c:v>
                </c:pt>
                <c:pt idx="48">
                  <c:v>0.54398265679646129</c:v>
                </c:pt>
                <c:pt idx="49">
                  <c:v>0.56436430173207364</c:v>
                </c:pt>
                <c:pt idx="50">
                  <c:v>0.5461709309882512</c:v>
                </c:pt>
                <c:pt idx="51">
                  <c:v>0.53831554462724596</c:v>
                </c:pt>
                <c:pt idx="52">
                  <c:v>0.49210621568827706</c:v>
                </c:pt>
                <c:pt idx="53">
                  <c:v>0.49816669310761108</c:v>
                </c:pt>
                <c:pt idx="54">
                  <c:v>0.51127071984108829</c:v>
                </c:pt>
                <c:pt idx="55">
                  <c:v>0.53208040528292788</c:v>
                </c:pt>
                <c:pt idx="56">
                  <c:v>0.57026646372578971</c:v>
                </c:pt>
                <c:pt idx="57">
                  <c:v>0.58471032575706483</c:v>
                </c:pt>
                <c:pt idx="58">
                  <c:v>0.57504820783285748</c:v>
                </c:pt>
                <c:pt idx="59">
                  <c:v>0.56871044856948549</c:v>
                </c:pt>
                <c:pt idx="60">
                  <c:v>0.56338040748866924</c:v>
                </c:pt>
                <c:pt idx="61">
                  <c:v>0.59198027082661908</c:v>
                </c:pt>
                <c:pt idx="62">
                  <c:v>0.5796251329807045</c:v>
                </c:pt>
                <c:pt idx="63">
                  <c:v>0.57343865472130762</c:v>
                </c:pt>
                <c:pt idx="64">
                  <c:v>0.54357611540947226</c:v>
                </c:pt>
                <c:pt idx="65">
                  <c:v>0.52875793826174133</c:v>
                </c:pt>
                <c:pt idx="66">
                  <c:v>0.53324677166947942</c:v>
                </c:pt>
                <c:pt idx="67">
                  <c:v>0.52337630864872775</c:v>
                </c:pt>
                <c:pt idx="68">
                  <c:v>0.58933570038990091</c:v>
                </c:pt>
                <c:pt idx="69">
                  <c:v>0.59463137384507236</c:v>
                </c:pt>
                <c:pt idx="70">
                  <c:v>0.59069757592669403</c:v>
                </c:pt>
                <c:pt idx="71">
                  <c:v>0.58356963649703208</c:v>
                </c:pt>
                <c:pt idx="72">
                  <c:v>0.57914880696527704</c:v>
                </c:pt>
                <c:pt idx="73">
                  <c:v>0.60402312352199505</c:v>
                </c:pt>
                <c:pt idx="74">
                  <c:v>0.61764918320168238</c:v>
                </c:pt>
                <c:pt idx="75">
                  <c:v>0.61039790770683455</c:v>
                </c:pt>
                <c:pt idx="76">
                  <c:v>0.57440607528600662</c:v>
                </c:pt>
                <c:pt idx="77">
                  <c:v>0.55335749451110916</c:v>
                </c:pt>
                <c:pt idx="78">
                  <c:v>0.55327403959527566</c:v>
                </c:pt>
                <c:pt idx="79">
                  <c:v>0.56299478125936853</c:v>
                </c:pt>
                <c:pt idx="80">
                  <c:v>0.58241043400300907</c:v>
                </c:pt>
                <c:pt idx="81">
                  <c:v>0.57525255180263568</c:v>
                </c:pt>
                <c:pt idx="82">
                  <c:v>0.56085219561913113</c:v>
                </c:pt>
                <c:pt idx="83">
                  <c:v>0.54317493634227609</c:v>
                </c:pt>
                <c:pt idx="84">
                  <c:v>0.54614880008464584</c:v>
                </c:pt>
                <c:pt idx="85">
                  <c:v>0.54784849158747151</c:v>
                </c:pt>
                <c:pt idx="86">
                  <c:v>0.54093921340761664</c:v>
                </c:pt>
                <c:pt idx="87">
                  <c:v>0.53031994210512434</c:v>
                </c:pt>
                <c:pt idx="88">
                  <c:v>0.48154800891275773</c:v>
                </c:pt>
                <c:pt idx="89">
                  <c:v>0.43261447493256405</c:v>
                </c:pt>
                <c:pt idx="90">
                  <c:v>0.42351133752108178</c:v>
                </c:pt>
                <c:pt idx="91">
                  <c:v>0.38858881364665504</c:v>
                </c:pt>
                <c:pt idx="92">
                  <c:v>0.40414108919244141</c:v>
                </c:pt>
                <c:pt idx="93">
                  <c:v>0.44475449341305351</c:v>
                </c:pt>
                <c:pt idx="94">
                  <c:v>0.43157486633572201</c:v>
                </c:pt>
                <c:pt idx="95">
                  <c:v>0.42370586570194446</c:v>
                </c:pt>
                <c:pt idx="96">
                  <c:v>0.40743571561970116</c:v>
                </c:pt>
                <c:pt idx="97">
                  <c:v>0.42683103858864013</c:v>
                </c:pt>
                <c:pt idx="98">
                  <c:v>0.41644055919961198</c:v>
                </c:pt>
                <c:pt idx="99">
                  <c:v>0.43436713168146729</c:v>
                </c:pt>
                <c:pt idx="100">
                  <c:v>0.39673986744319883</c:v>
                </c:pt>
                <c:pt idx="101">
                  <c:v>0.38735815372435128</c:v>
                </c:pt>
                <c:pt idx="102">
                  <c:v>0.37437293057392873</c:v>
                </c:pt>
                <c:pt idx="103">
                  <c:v>0.37234203799542998</c:v>
                </c:pt>
                <c:pt idx="104">
                  <c:v>0.3893876277479833</c:v>
                </c:pt>
                <c:pt idx="105">
                  <c:v>0.42036697526372213</c:v>
                </c:pt>
                <c:pt idx="106">
                  <c:v>0.43004200990302555</c:v>
                </c:pt>
                <c:pt idx="107">
                  <c:v>0.40429537543835598</c:v>
                </c:pt>
                <c:pt idx="108">
                  <c:v>0.39371212194632743</c:v>
                </c:pt>
                <c:pt idx="109">
                  <c:v>0.40637824384203247</c:v>
                </c:pt>
                <c:pt idx="110">
                  <c:v>0.41246538926734594</c:v>
                </c:pt>
                <c:pt idx="111">
                  <c:v>0.40308656119857073</c:v>
                </c:pt>
                <c:pt idx="112">
                  <c:v>0.38267220629941051</c:v>
                </c:pt>
                <c:pt idx="113">
                  <c:v>0.37580844268569119</c:v>
                </c:pt>
                <c:pt idx="114">
                  <c:v>0.35634121511203259</c:v>
                </c:pt>
                <c:pt idx="115">
                  <c:v>0.34575620839580246</c:v>
                </c:pt>
                <c:pt idx="116">
                  <c:v>0.36575469126472182</c:v>
                </c:pt>
                <c:pt idx="117">
                  <c:v>0.39367635449395899</c:v>
                </c:pt>
                <c:pt idx="118">
                  <c:v>0.38922678460827653</c:v>
                </c:pt>
                <c:pt idx="119">
                  <c:v>0.37698985693850662</c:v>
                </c:pt>
                <c:pt idx="120">
                  <c:v>0.36749747382168257</c:v>
                </c:pt>
                <c:pt idx="121">
                  <c:v>0.38144539474653599</c:v>
                </c:pt>
                <c:pt idx="122">
                  <c:v>0.38032844869947513</c:v>
                </c:pt>
                <c:pt idx="123">
                  <c:v>0.38049239316064182</c:v>
                </c:pt>
                <c:pt idx="124">
                  <c:v>0.34317566023569351</c:v>
                </c:pt>
                <c:pt idx="125">
                  <c:v>0.33550470366008522</c:v>
                </c:pt>
                <c:pt idx="126">
                  <c:v>0.31588097022055439</c:v>
                </c:pt>
                <c:pt idx="127">
                  <c:v>0.29568606747617104</c:v>
                </c:pt>
                <c:pt idx="128">
                  <c:v>0.34447910889917777</c:v>
                </c:pt>
                <c:pt idx="129">
                  <c:v>0.42166604231529381</c:v>
                </c:pt>
                <c:pt idx="130">
                  <c:v>0.3659954262482531</c:v>
                </c:pt>
                <c:pt idx="131">
                  <c:v>0.35995507212106881</c:v>
                </c:pt>
                <c:pt idx="132">
                  <c:v>0.37565890635744509</c:v>
                </c:pt>
                <c:pt idx="133">
                  <c:v>0.37840519803755118</c:v>
                </c:pt>
                <c:pt idx="134">
                  <c:v>0.37975443936131614</c:v>
                </c:pt>
                <c:pt idx="135">
                  <c:v>0.36440242991261407</c:v>
                </c:pt>
                <c:pt idx="136">
                  <c:v>0.35843149411035335</c:v>
                </c:pt>
                <c:pt idx="137">
                  <c:v>0.34717378179239039</c:v>
                </c:pt>
                <c:pt idx="138">
                  <c:v>0.33238180768490605</c:v>
                </c:pt>
                <c:pt idx="139">
                  <c:v>0.38305461845727179</c:v>
                </c:pt>
                <c:pt idx="140">
                  <c:v>0.40121197690844906</c:v>
                </c:pt>
                <c:pt idx="141">
                  <c:v>0.39263948417675915</c:v>
                </c:pt>
                <c:pt idx="142">
                  <c:v>0.36428201671302857</c:v>
                </c:pt>
                <c:pt idx="143">
                  <c:v>0.35756119990697294</c:v>
                </c:pt>
                <c:pt idx="144">
                  <c:v>0.37711262331752599</c:v>
                </c:pt>
                <c:pt idx="145">
                  <c:v>0.40268418094549296</c:v>
                </c:pt>
                <c:pt idx="146">
                  <c:v>0.40921398423190253</c:v>
                </c:pt>
                <c:pt idx="147">
                  <c:v>0.40911871360257357</c:v>
                </c:pt>
                <c:pt idx="148">
                  <c:v>0.37453470545419049</c:v>
                </c:pt>
                <c:pt idx="149">
                  <c:v>0.35989910364830563</c:v>
                </c:pt>
                <c:pt idx="150">
                  <c:v>0.36086445685709828</c:v>
                </c:pt>
                <c:pt idx="151">
                  <c:v>0.36830896617833442</c:v>
                </c:pt>
                <c:pt idx="152">
                  <c:v>0.39399114749753866</c:v>
                </c:pt>
                <c:pt idx="153">
                  <c:v>0.387387953455469</c:v>
                </c:pt>
                <c:pt idx="154">
                  <c:v>0.3747621102921862</c:v>
                </c:pt>
                <c:pt idx="155">
                  <c:v>0.3419047511363606</c:v>
                </c:pt>
                <c:pt idx="156">
                  <c:v>0.35659507338465746</c:v>
                </c:pt>
                <c:pt idx="157">
                  <c:v>0.35691801891530756</c:v>
                </c:pt>
                <c:pt idx="158">
                  <c:v>0.36355802617585703</c:v>
                </c:pt>
                <c:pt idx="159">
                  <c:v>0.34995872808342143</c:v>
                </c:pt>
                <c:pt idx="160">
                  <c:v>0.32070407806400902</c:v>
                </c:pt>
                <c:pt idx="161">
                  <c:v>0.33126342137298076</c:v>
                </c:pt>
                <c:pt idx="162" formatCode="0%">
                  <c:v>0.37</c:v>
                </c:pt>
                <c:pt idx="163" formatCode="0%">
                  <c:v>0.38</c:v>
                </c:pt>
                <c:pt idx="164" formatCode="0%">
                  <c:v>0.39</c:v>
                </c:pt>
                <c:pt idx="165" formatCode="0%">
                  <c:v>0.38</c:v>
                </c:pt>
                <c:pt idx="166" formatCode="0%">
                  <c:v>0.39</c:v>
                </c:pt>
                <c:pt idx="167" formatCode="0%">
                  <c:v>0.39</c:v>
                </c:pt>
                <c:pt idx="168" formatCode="0%">
                  <c:v>0.39</c:v>
                </c:pt>
                <c:pt idx="169" formatCode="0%">
                  <c:v>0.4</c:v>
                </c:pt>
                <c:pt idx="170" formatCode="0%">
                  <c:v>0.41</c:v>
                </c:pt>
                <c:pt idx="171" formatCode="0%">
                  <c:v>0.41</c:v>
                </c:pt>
                <c:pt idx="172" formatCode="0%">
                  <c:v>0.4</c:v>
                </c:pt>
                <c:pt idx="173" formatCode="0%">
                  <c:v>0.4</c:v>
                </c:pt>
                <c:pt idx="174" formatCode="0%">
                  <c:v>0.4</c:v>
                </c:pt>
                <c:pt idx="175" formatCode="0%">
                  <c:v>0.39</c:v>
                </c:pt>
                <c:pt idx="176" formatCode="0%">
                  <c:v>0.38</c:v>
                </c:pt>
                <c:pt idx="177" formatCode="0%">
                  <c:v>0.39</c:v>
                </c:pt>
                <c:pt idx="178" formatCode="0%">
                  <c:v>0.38</c:v>
                </c:pt>
                <c:pt idx="179" formatCode="0%">
                  <c:v>0.38</c:v>
                </c:pt>
                <c:pt idx="180" formatCode="0%">
                  <c:v>0.38</c:v>
                </c:pt>
                <c:pt idx="181" formatCode="0%">
                  <c:v>0.38</c:v>
                </c:pt>
                <c:pt idx="182" formatCode="0%">
                  <c:v>0.38</c:v>
                </c:pt>
                <c:pt idx="183" formatCode="0%">
                  <c:v>0.37</c:v>
                </c:pt>
                <c:pt idx="184" formatCode="0%">
                  <c:v>0.38</c:v>
                </c:pt>
                <c:pt idx="185" formatCode="0%">
                  <c:v>0.37</c:v>
                </c:pt>
                <c:pt idx="186" formatCode="0%">
                  <c:v>0.39</c:v>
                </c:pt>
                <c:pt idx="187" formatCode="0%">
                  <c:v>0.37</c:v>
                </c:pt>
                <c:pt idx="188" formatCode="0%">
                  <c:v>0.37</c:v>
                </c:pt>
                <c:pt idx="189" formatCode="0%">
                  <c:v>0.36</c:v>
                </c:pt>
                <c:pt idx="190" formatCode="0%">
                  <c:v>0.33</c:v>
                </c:pt>
                <c:pt idx="191" formatCode="0%">
                  <c:v>0.34</c:v>
                </c:pt>
                <c:pt idx="192" formatCode="0%">
                  <c:v>0.33</c:v>
                </c:pt>
                <c:pt idx="193" formatCode="0%">
                  <c:v>0.33</c:v>
                </c:pt>
                <c:pt idx="194" formatCode="0%">
                  <c:v>0.33</c:v>
                </c:pt>
                <c:pt idx="195" formatCode="0%">
                  <c:v>0.32</c:v>
                </c:pt>
                <c:pt idx="196" formatCode="0%">
                  <c:v>0.32</c:v>
                </c:pt>
                <c:pt idx="198" formatCode="0%">
                  <c:v>0.32</c:v>
                </c:pt>
                <c:pt idx="199" formatCode="0%">
                  <c:v>0.33</c:v>
                </c:pt>
                <c:pt idx="200" formatCode="0%">
                  <c:v>0.34</c:v>
                </c:pt>
                <c:pt idx="201" formatCode="0%">
                  <c:v>0.37</c:v>
                </c:pt>
                <c:pt idx="202" formatCode="0%">
                  <c:v>0.37</c:v>
                </c:pt>
                <c:pt idx="203" formatCode="0%">
                  <c:v>0.37</c:v>
                </c:pt>
                <c:pt idx="204" formatCode="0%">
                  <c:v>0.37</c:v>
                </c:pt>
                <c:pt idx="205" formatCode="0%">
                  <c:v>0.4</c:v>
                </c:pt>
                <c:pt idx="206" formatCode="0%">
                  <c:v>0.41</c:v>
                </c:pt>
                <c:pt idx="207" formatCode="0%">
                  <c:v>0.47</c:v>
                </c:pt>
                <c:pt idx="208" formatCode="0%">
                  <c:v>0.47</c:v>
                </c:pt>
                <c:pt idx="209" formatCode="0%">
                  <c:v>0.46</c:v>
                </c:pt>
                <c:pt idx="210" formatCode="0%">
                  <c:v>0.46</c:v>
                </c:pt>
                <c:pt idx="211" formatCode="0%">
                  <c:v>0.44</c:v>
                </c:pt>
                <c:pt idx="212" formatCode="0%">
                  <c:v>0.44</c:v>
                </c:pt>
                <c:pt idx="213" formatCode="0%">
                  <c:v>0.43</c:v>
                </c:pt>
                <c:pt idx="214" formatCode="0%">
                  <c:v>0.41</c:v>
                </c:pt>
                <c:pt idx="215" formatCode="0%">
                  <c:v>0.41</c:v>
                </c:pt>
                <c:pt idx="216" formatCode="0%">
                  <c:v>0.37</c:v>
                </c:pt>
                <c:pt idx="217" formatCode="0%">
                  <c:v>0.37</c:v>
                </c:pt>
                <c:pt idx="218" formatCode="0%">
                  <c:v>0.35</c:v>
                </c:pt>
                <c:pt idx="219" formatCode="0%">
                  <c:v>0.33</c:v>
                </c:pt>
                <c:pt idx="220" formatCode="0%">
                  <c:v>0.27</c:v>
                </c:pt>
                <c:pt idx="221" formatCode="0%">
                  <c:v>0.27</c:v>
                </c:pt>
                <c:pt idx="222" formatCode="0%">
                  <c:v>0.28999999999999998</c:v>
                </c:pt>
                <c:pt idx="223" formatCode="0%">
                  <c:v>0.3</c:v>
                </c:pt>
                <c:pt idx="224" formatCode="0%">
                  <c:v>0.27</c:v>
                </c:pt>
                <c:pt idx="225" formatCode="0%">
                  <c:v>0.27</c:v>
                </c:pt>
                <c:pt idx="226" formatCode="0%">
                  <c:v>2.5999999999999999E-3</c:v>
                </c:pt>
                <c:pt idx="227" formatCode="0%">
                  <c:v>2.7000000000000001E-3</c:v>
                </c:pt>
                <c:pt idx="228" formatCode="0%">
                  <c:v>0</c:v>
                </c:pt>
                <c:pt idx="229" formatCode="0%">
                  <c:v>0</c:v>
                </c:pt>
              </c:numCache>
            </c:numRef>
          </c:val>
          <c:smooth val="0"/>
          <c:extLst>
            <c:ext xmlns:c16="http://schemas.microsoft.com/office/drawing/2014/chart" uri="{C3380CC4-5D6E-409C-BE32-E72D297353CC}">
              <c16:uniqueId val="{00000003-5486-E742-AEFB-7662EC6632B4}"/>
            </c:ext>
          </c:extLst>
        </c:ser>
        <c:dLbls>
          <c:showLegendKey val="0"/>
          <c:showVal val="0"/>
          <c:showCatName val="0"/>
          <c:showSerName val="0"/>
          <c:showPercent val="0"/>
          <c:showBubbleSize val="0"/>
        </c:dLbls>
        <c:smooth val="0"/>
        <c:axId val="379555296"/>
        <c:axId val="1"/>
      </c:lineChart>
      <c:dateAx>
        <c:axId val="379555296"/>
        <c:scaling>
          <c:orientation val="minMax"/>
        </c:scaling>
        <c:delete val="0"/>
        <c:axPos val="b"/>
        <c:numFmt formatCode="[$-409]mmm\-yy;@" sourceLinked="0"/>
        <c:majorTickMark val="out"/>
        <c:minorTickMark val="none"/>
        <c:tickLblPos val="nextTo"/>
        <c:spPr>
          <a:ln w="3175">
            <a:solidFill>
              <a:srgbClr val="000000"/>
            </a:solidFill>
            <a:prstDash val="solid"/>
          </a:ln>
        </c:spPr>
        <c:txPr>
          <a:bodyPr rot="-42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6"/>
        <c:majorTimeUnit val="months"/>
        <c:minorUnit val="3"/>
        <c:minorTimeUnit val="months"/>
      </c:dateAx>
      <c:valAx>
        <c:axId val="1"/>
        <c:scaling>
          <c:orientation val="minMax"/>
        </c:scaling>
        <c:delete val="0"/>
        <c:axPos val="l"/>
        <c:majorGridlines>
          <c:spPr>
            <a:ln w="3175">
              <a:solidFill>
                <a:schemeClr val="bg1">
                  <a:lumMod val="6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Load (%)</a:t>
                </a:r>
              </a:p>
            </c:rich>
          </c:tx>
          <c:layout>
            <c:manualLayout>
              <c:xMode val="edge"/>
              <c:yMode val="edge"/>
              <c:x val="1.5538290788013319E-2"/>
              <c:y val="0.443719387777018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79555296"/>
        <c:crosses val="autoZero"/>
        <c:crossBetween val="between"/>
      </c:valAx>
      <c:spPr>
        <a:noFill/>
        <a:ln w="12700">
          <a:solidFill>
            <a:srgbClr val="000000"/>
          </a:solidFill>
          <a:prstDash val="solid"/>
        </a:ln>
      </c:spPr>
    </c:plotArea>
    <c:legend>
      <c:legendPos val="r"/>
      <c:layout>
        <c:manualLayout>
          <c:xMode val="edge"/>
          <c:yMode val="edge"/>
          <c:x val="0.25333333333333335"/>
          <c:y val="0.94104803493449785"/>
          <c:w val="0.55407407407407405"/>
          <c:h val="3.7117903930131008E-2"/>
        </c:manualLayout>
      </c:layout>
      <c:overlay val="0"/>
      <c:spPr>
        <a:solidFill>
          <a:srgbClr val="FFFFFF"/>
        </a:solidFill>
        <a:ln w="3175">
          <a:solidFill>
            <a:srgbClr val="000000"/>
          </a:solidFill>
          <a:prstDash val="solid"/>
        </a:ln>
      </c:spPr>
      <c:txPr>
        <a:bodyPr/>
        <a:lstStyle/>
        <a:p>
          <a:pPr>
            <a:defRPr sz="59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Load Served by Competitive Electric Providers 
Statewide Average by Class
February 2006-November 2016
Presented by the Maine PUC</a:t>
            </a:r>
          </a:p>
        </c:rich>
      </c:tx>
      <c:layout>
        <c:manualLayout>
          <c:xMode val="edge"/>
          <c:yMode val="edge"/>
          <c:x val="0.29966703662597116"/>
          <c:y val="1.9575842708695782E-2"/>
        </c:manualLayout>
      </c:layout>
      <c:overlay val="0"/>
      <c:spPr>
        <a:noFill/>
        <a:ln w="25400">
          <a:noFill/>
        </a:ln>
      </c:spPr>
    </c:title>
    <c:autoTitleDeleted val="0"/>
    <c:plotArea>
      <c:layout>
        <c:manualLayout>
          <c:layoutTarget val="inner"/>
          <c:xMode val="edge"/>
          <c:yMode val="edge"/>
          <c:x val="8.7680355160932297E-2"/>
          <c:y val="0.22512234910277323"/>
          <c:w val="0.86705640128317307"/>
          <c:h val="0.63458401305057099"/>
        </c:manualLayout>
      </c:layout>
      <c:lineChart>
        <c:grouping val="standard"/>
        <c:varyColors val="0"/>
        <c:ser>
          <c:idx val="0"/>
          <c:order val="0"/>
          <c:tx>
            <c:v>Residential/Small commercial</c:v>
          </c:tx>
          <c:spPr>
            <a:ln w="12700">
              <a:solidFill>
                <a:schemeClr val="accent4">
                  <a:lumMod val="50000"/>
                </a:schemeClr>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Load!$AO$6:$AO$168</c:f>
              <c:numCache>
                <c:formatCode>0.0%</c:formatCode>
                <c:ptCount val="163"/>
                <c:pt idx="2">
                  <c:v>0.16053418198470373</c:v>
                </c:pt>
                <c:pt idx="3">
                  <c:v>0.14128076455044408</c:v>
                </c:pt>
                <c:pt idx="4">
                  <c:v>0.13995561531034004</c:v>
                </c:pt>
                <c:pt idx="5">
                  <c:v>0.13840051291105041</c:v>
                </c:pt>
                <c:pt idx="6">
                  <c:v>0.14246600172357607</c:v>
                </c:pt>
                <c:pt idx="7">
                  <c:v>0.14312895272687537</c:v>
                </c:pt>
                <c:pt idx="8">
                  <c:v>0.14917135271077514</c:v>
                </c:pt>
                <c:pt idx="9">
                  <c:v>0.1523315940940706</c:v>
                </c:pt>
                <c:pt idx="10">
                  <c:v>0.16233693276118916</c:v>
                </c:pt>
                <c:pt idx="11">
                  <c:v>0.15578324243989303</c:v>
                </c:pt>
                <c:pt idx="12">
                  <c:v>0.15804740021487887</c:v>
                </c:pt>
                <c:pt idx="13">
                  <c:v>0.16027840540284888</c:v>
                </c:pt>
                <c:pt idx="14">
                  <c:v>0.15408522147440901</c:v>
                </c:pt>
                <c:pt idx="15">
                  <c:v>0.15176938850988911</c:v>
                </c:pt>
                <c:pt idx="16">
                  <c:v>0.1501221722635927</c:v>
                </c:pt>
                <c:pt idx="17">
                  <c:v>0.15443242080564079</c:v>
                </c:pt>
                <c:pt idx="18">
                  <c:v>0.15590871162586384</c:v>
                </c:pt>
                <c:pt idx="19">
                  <c:v>0.15423919823646443</c:v>
                </c:pt>
                <c:pt idx="20">
                  <c:v>0.16918476372397467</c:v>
                </c:pt>
                <c:pt idx="21">
                  <c:v>0.16671421523738308</c:v>
                </c:pt>
                <c:pt idx="22">
                  <c:v>0.16949895168138704</c:v>
                </c:pt>
                <c:pt idx="23">
                  <c:v>0.17018984994746703</c:v>
                </c:pt>
                <c:pt idx="24">
                  <c:v>0.17467245252188537</c:v>
                </c:pt>
                <c:pt idx="25">
                  <c:v>0.17604071668759058</c:v>
                </c:pt>
                <c:pt idx="26">
                  <c:v>0.17344283567451896</c:v>
                </c:pt>
                <c:pt idx="27">
                  <c:v>0.16965098778971752</c:v>
                </c:pt>
                <c:pt idx="28">
                  <c:v>0.16803784861750135</c:v>
                </c:pt>
                <c:pt idx="29">
                  <c:v>0.13978560892168571</c:v>
                </c:pt>
                <c:pt idx="30">
                  <c:v>0.17703233431854215</c:v>
                </c:pt>
                <c:pt idx="31">
                  <c:v>0.18496236692350188</c:v>
                </c:pt>
                <c:pt idx="32">
                  <c:v>0.18363668844575035</c:v>
                </c:pt>
                <c:pt idx="33">
                  <c:v>0.22882118806761007</c:v>
                </c:pt>
                <c:pt idx="34">
                  <c:v>0.18657535204829045</c:v>
                </c:pt>
                <c:pt idx="35">
                  <c:v>0.24694242805440716</c:v>
                </c:pt>
                <c:pt idx="36">
                  <c:v>0.1853021061016607</c:v>
                </c:pt>
                <c:pt idx="37">
                  <c:v>0.18382930413675758</c:v>
                </c:pt>
                <c:pt idx="38">
                  <c:v>0.18997253179097975</c:v>
                </c:pt>
                <c:pt idx="39">
                  <c:v>0.18967114426992035</c:v>
                </c:pt>
                <c:pt idx="40">
                  <c:v>0.18996953385588033</c:v>
                </c:pt>
                <c:pt idx="41">
                  <c:v>0.18954500057100568</c:v>
                </c:pt>
                <c:pt idx="42">
                  <c:v>0.19426080809977375</c:v>
                </c:pt>
                <c:pt idx="43">
                  <c:v>0.17431345138049342</c:v>
                </c:pt>
                <c:pt idx="44">
                  <c:v>0.19731371075723692</c:v>
                </c:pt>
                <c:pt idx="45">
                  <c:v>0.20639487640296916</c:v>
                </c:pt>
                <c:pt idx="46">
                  <c:v>0.21156353296227981</c:v>
                </c:pt>
                <c:pt idx="47">
                  <c:v>0.21241132571200705</c:v>
                </c:pt>
                <c:pt idx="48">
                  <c:v>0.21583696876546474</c:v>
                </c:pt>
                <c:pt idx="49">
                  <c:v>0.21821573133853944</c:v>
                </c:pt>
                <c:pt idx="50">
                  <c:v>0.21228087071920013</c:v>
                </c:pt>
                <c:pt idx="51">
                  <c:v>0.21389937400729375</c:v>
                </c:pt>
                <c:pt idx="52">
                  <c:v>0.23527590523308783</c:v>
                </c:pt>
                <c:pt idx="53">
                  <c:v>0.22530085274865677</c:v>
                </c:pt>
                <c:pt idx="54">
                  <c:v>0.23584777082423231</c:v>
                </c:pt>
                <c:pt idx="55">
                  <c:v>0.25105586095871385</c:v>
                </c:pt>
                <c:pt idx="56">
                  <c:v>0.26081137903070217</c:v>
                </c:pt>
                <c:pt idx="57">
                  <c:v>0.26631604111881424</c:v>
                </c:pt>
                <c:pt idx="58">
                  <c:v>0.28140926894277107</c:v>
                </c:pt>
                <c:pt idx="59">
                  <c:v>0.28694761382514694</c:v>
                </c:pt>
                <c:pt idx="60">
                  <c:v>0.29383573672376029</c:v>
                </c:pt>
                <c:pt idx="61">
                  <c:v>0.29300481250507804</c:v>
                </c:pt>
                <c:pt idx="62">
                  <c:v>0.29091920015394113</c:v>
                </c:pt>
                <c:pt idx="63">
                  <c:v>0.28804440216967797</c:v>
                </c:pt>
                <c:pt idx="64">
                  <c:v>0.28153022466247735</c:v>
                </c:pt>
                <c:pt idx="65">
                  <c:v>0.28651532545640107</c:v>
                </c:pt>
                <c:pt idx="66">
                  <c:v>0.29883953980375566</c:v>
                </c:pt>
                <c:pt idx="67">
                  <c:v>0.24760161287669596</c:v>
                </c:pt>
                <c:pt idx="68">
                  <c:v>0.31950167866368412</c:v>
                </c:pt>
                <c:pt idx="69">
                  <c:v>0.32049989014635294</c:v>
                </c:pt>
                <c:pt idx="70">
                  <c:v>0.33260531111158992</c:v>
                </c:pt>
                <c:pt idx="71">
                  <c:v>0.3277136865612541</c:v>
                </c:pt>
                <c:pt idx="72">
                  <c:v>0.33433042843697797</c:v>
                </c:pt>
                <c:pt idx="73">
                  <c:v>0.34652371215768157</c:v>
                </c:pt>
                <c:pt idx="74">
                  <c:v>0.34259311196234776</c:v>
                </c:pt>
                <c:pt idx="75">
                  <c:v>0.34174032129213594</c:v>
                </c:pt>
                <c:pt idx="76">
                  <c:v>0.31491707756477927</c:v>
                </c:pt>
                <c:pt idx="77">
                  <c:v>0.30524561944040146</c:v>
                </c:pt>
                <c:pt idx="78">
                  <c:v>0.30564623164024551</c:v>
                </c:pt>
                <c:pt idx="79">
                  <c:v>0.2988320930906162</c:v>
                </c:pt>
                <c:pt idx="80">
                  <c:v>0.28295055835174765</c:v>
                </c:pt>
                <c:pt idx="81">
                  <c:v>0.26656410614327375</c:v>
                </c:pt>
                <c:pt idx="82">
                  <c:v>0.25982692132946672</c:v>
                </c:pt>
                <c:pt idx="83">
                  <c:v>0.25211364875731712</c:v>
                </c:pt>
                <c:pt idx="84">
                  <c:v>0.23712536004934101</c:v>
                </c:pt>
                <c:pt idx="85">
                  <c:v>0.22320677559668314</c:v>
                </c:pt>
                <c:pt idx="86">
                  <c:v>0.20696077514094885</c:v>
                </c:pt>
                <c:pt idx="87">
                  <c:v>0.18368255820192214</c:v>
                </c:pt>
                <c:pt idx="88">
                  <c:v>0.14024881109901069</c:v>
                </c:pt>
                <c:pt idx="89">
                  <c:v>7.7254356829055501E-2</c:v>
                </c:pt>
                <c:pt idx="90">
                  <c:v>6.2575183606245685E-2</c:v>
                </c:pt>
                <c:pt idx="91">
                  <c:v>6.2149884921061882E-2</c:v>
                </c:pt>
                <c:pt idx="92">
                  <c:v>4.8750047576640025E-2</c:v>
                </c:pt>
                <c:pt idx="93">
                  <c:v>4.6298719759327568E-2</c:v>
                </c:pt>
                <c:pt idx="94">
                  <c:v>4.3638629193206803E-2</c:v>
                </c:pt>
                <c:pt idx="95">
                  <c:v>3.9978311410669265E-2</c:v>
                </c:pt>
                <c:pt idx="96">
                  <c:v>3.9388018131534863E-2</c:v>
                </c:pt>
                <c:pt idx="97">
                  <c:v>4.2850552698187022E-2</c:v>
                </c:pt>
                <c:pt idx="98">
                  <c:v>4.1198139668403938E-2</c:v>
                </c:pt>
                <c:pt idx="99">
                  <c:v>4.0214971029291072E-2</c:v>
                </c:pt>
                <c:pt idx="100">
                  <c:v>3.8818630798466612E-2</c:v>
                </c:pt>
                <c:pt idx="101">
                  <c:v>3.9325033145960794E-2</c:v>
                </c:pt>
                <c:pt idx="102">
                  <c:v>3.6776770184128449E-2</c:v>
                </c:pt>
                <c:pt idx="103">
                  <c:v>3.7779056604377123E-2</c:v>
                </c:pt>
                <c:pt idx="104">
                  <c:v>3.8708598299640996E-2</c:v>
                </c:pt>
                <c:pt idx="105">
                  <c:v>3.9137253928309294E-2</c:v>
                </c:pt>
                <c:pt idx="106">
                  <c:v>3.8352587341572257E-2</c:v>
                </c:pt>
                <c:pt idx="107">
                  <c:v>3.4671476985316335E-2</c:v>
                </c:pt>
                <c:pt idx="108">
                  <c:v>3.2651184032769696E-2</c:v>
                </c:pt>
                <c:pt idx="109">
                  <c:v>3.4207705340725342E-2</c:v>
                </c:pt>
                <c:pt idx="110">
                  <c:v>3.1895124409912622E-2</c:v>
                </c:pt>
                <c:pt idx="111">
                  <c:v>2.9734023639928765E-2</c:v>
                </c:pt>
                <c:pt idx="112">
                  <c:v>2.8406637401229725E-2</c:v>
                </c:pt>
                <c:pt idx="113">
                  <c:v>2.7134651273501852E-2</c:v>
                </c:pt>
                <c:pt idx="114">
                  <c:v>2.5102306738704266E-2</c:v>
                </c:pt>
                <c:pt idx="115">
                  <c:v>2.0878663607868903E-2</c:v>
                </c:pt>
                <c:pt idx="116">
                  <c:v>1.8750033394985804E-2</c:v>
                </c:pt>
                <c:pt idx="117">
                  <c:v>1.8148991479516027E-2</c:v>
                </c:pt>
                <c:pt idx="118">
                  <c:v>1.5805671483735923E-2</c:v>
                </c:pt>
                <c:pt idx="119">
                  <c:v>1.4713403532720647E-2</c:v>
                </c:pt>
                <c:pt idx="120">
                  <c:v>1.4298301305505903E-2</c:v>
                </c:pt>
                <c:pt idx="121">
                  <c:v>1.4294413354671544E-2</c:v>
                </c:pt>
                <c:pt idx="122">
                  <c:v>1.1924966168983125E-2</c:v>
                </c:pt>
                <c:pt idx="123">
                  <c:v>1.143013265261158E-2</c:v>
                </c:pt>
                <c:pt idx="124">
                  <c:v>1.0693059458384106E-2</c:v>
                </c:pt>
                <c:pt idx="125">
                  <c:v>1.0209085733046849E-2</c:v>
                </c:pt>
                <c:pt idx="126">
                  <c:v>1.0048885324594728E-2</c:v>
                </c:pt>
                <c:pt idx="127">
                  <c:v>1.010373233012794E-2</c:v>
                </c:pt>
                <c:pt idx="128">
                  <c:v>1.0102858879075357E-2</c:v>
                </c:pt>
                <c:pt idx="129">
                  <c:v>8.7524449479640734E-3</c:v>
                </c:pt>
                <c:pt idx="130">
                  <c:v>7.899335896539671E-3</c:v>
                </c:pt>
                <c:pt idx="131">
                  <c:v>7.89406671759613E-3</c:v>
                </c:pt>
                <c:pt idx="132">
                  <c:v>8.2450778306915919E-3</c:v>
                </c:pt>
                <c:pt idx="133">
                  <c:v>7.9839096654313046E-3</c:v>
                </c:pt>
                <c:pt idx="134">
                  <c:v>8.0749790351317668E-3</c:v>
                </c:pt>
                <c:pt idx="135">
                  <c:v>8.4059525405550343E-3</c:v>
                </c:pt>
                <c:pt idx="136">
                  <c:v>9.8896918980600993E-3</c:v>
                </c:pt>
                <c:pt idx="137">
                  <c:v>9.2607657837865762E-3</c:v>
                </c:pt>
                <c:pt idx="138">
                  <c:v>9.2865928659286601E-3</c:v>
                </c:pt>
                <c:pt idx="139">
                  <c:v>9.5045554181716844E-3</c:v>
                </c:pt>
                <c:pt idx="140">
                  <c:v>9.0470224508359294E-3</c:v>
                </c:pt>
                <c:pt idx="141">
                  <c:v>8.678956766435179E-3</c:v>
                </c:pt>
                <c:pt idx="142">
                  <c:v>8.0419488180587719E-3</c:v>
                </c:pt>
                <c:pt idx="143">
                  <c:v>8.0136732594892103E-3</c:v>
                </c:pt>
                <c:pt idx="144">
                  <c:v>8.6127980094321682E-3</c:v>
                </c:pt>
                <c:pt idx="145">
                  <c:v>8.7563563447644963E-3</c:v>
                </c:pt>
                <c:pt idx="146">
                  <c:v>8.8298265042451082E-3</c:v>
                </c:pt>
                <c:pt idx="147">
                  <c:v>8.6020141711900169E-3</c:v>
                </c:pt>
                <c:pt idx="148">
                  <c:v>8.9938000641767383E-3</c:v>
                </c:pt>
                <c:pt idx="149">
                  <c:v>8.267342802217718E-3</c:v>
                </c:pt>
                <c:pt idx="150">
                  <c:v>7.9589692641754296E-3</c:v>
                </c:pt>
                <c:pt idx="151">
                  <c:v>8.3416905468387016E-3</c:v>
                </c:pt>
                <c:pt idx="152">
                  <c:v>7.9436210165527207E-3</c:v>
                </c:pt>
                <c:pt idx="153">
                  <c:v>7.458059939909242E-3</c:v>
                </c:pt>
                <c:pt idx="154">
                  <c:v>7.1858438696726446E-3</c:v>
                </c:pt>
                <c:pt idx="155">
                  <c:v>7.178720177964921E-3</c:v>
                </c:pt>
                <c:pt idx="156">
                  <c:v>7.5297721164902503E-3</c:v>
                </c:pt>
                <c:pt idx="157">
                  <c:v>7.6498384233531233E-3</c:v>
                </c:pt>
                <c:pt idx="158">
                  <c:v>9.2988434151658646E-3</c:v>
                </c:pt>
                <c:pt idx="159">
                  <c:v>1.0104999595132539E-2</c:v>
                </c:pt>
                <c:pt idx="160">
                  <c:v>9.2938336085771917E-3</c:v>
                </c:pt>
                <c:pt idx="161">
                  <c:v>9.4229354122924904E-3</c:v>
                </c:pt>
              </c:numCache>
            </c:numRef>
          </c:val>
          <c:smooth val="0"/>
          <c:extLst>
            <c:ext xmlns:c16="http://schemas.microsoft.com/office/drawing/2014/chart" uri="{C3380CC4-5D6E-409C-BE32-E72D297353CC}">
              <c16:uniqueId val="{00000000-8BF7-FF42-B7C4-DA9BC88E2CFE}"/>
            </c:ext>
          </c:extLst>
        </c:ser>
        <c:ser>
          <c:idx val="1"/>
          <c:order val="1"/>
          <c:tx>
            <c:v>Medium C&amp;I</c:v>
          </c:tx>
          <c:spPr>
            <a:ln w="12700">
              <a:solidFill>
                <a:srgbClr val="FF00FF"/>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Load!$AP$6:$AP$168</c:f>
              <c:numCache>
                <c:formatCode>0.0%</c:formatCode>
                <c:ptCount val="163"/>
                <c:pt idx="2">
                  <c:v>0.61747702397491611</c:v>
                </c:pt>
                <c:pt idx="3">
                  <c:v>0.61592852656006813</c:v>
                </c:pt>
                <c:pt idx="4">
                  <c:v>0.61041133378732693</c:v>
                </c:pt>
                <c:pt idx="5">
                  <c:v>0.58682284935055951</c:v>
                </c:pt>
                <c:pt idx="6">
                  <c:v>0.6174902102806995</c:v>
                </c:pt>
                <c:pt idx="7">
                  <c:v>0.59564248443047563</c:v>
                </c:pt>
                <c:pt idx="8">
                  <c:v>0.62472085481615081</c:v>
                </c:pt>
                <c:pt idx="9">
                  <c:v>0.59300686844856831</c:v>
                </c:pt>
                <c:pt idx="10">
                  <c:v>0.5812510603895007</c:v>
                </c:pt>
                <c:pt idx="11">
                  <c:v>0.59896711613182607</c:v>
                </c:pt>
                <c:pt idx="12">
                  <c:v>0.59840261330677957</c:v>
                </c:pt>
                <c:pt idx="13">
                  <c:v>0.59061768596646269</c:v>
                </c:pt>
                <c:pt idx="14">
                  <c:v>0.63420194307541522</c:v>
                </c:pt>
                <c:pt idx="15">
                  <c:v>0.6260532995804674</c:v>
                </c:pt>
                <c:pt idx="16">
                  <c:v>0.62499211309574021</c:v>
                </c:pt>
                <c:pt idx="17">
                  <c:v>0.64332163785900487</c:v>
                </c:pt>
                <c:pt idx="18">
                  <c:v>0.62912848794743059</c:v>
                </c:pt>
                <c:pt idx="19">
                  <c:v>0.59559317839268233</c:v>
                </c:pt>
                <c:pt idx="20">
                  <c:v>0.63008029236136687</c:v>
                </c:pt>
                <c:pt idx="21">
                  <c:v>0.63123988750241822</c:v>
                </c:pt>
                <c:pt idx="22">
                  <c:v>0.62559343868032435</c:v>
                </c:pt>
                <c:pt idx="23">
                  <c:v>0.62562838012785904</c:v>
                </c:pt>
                <c:pt idx="24">
                  <c:v>0.62548707249384639</c:v>
                </c:pt>
                <c:pt idx="25">
                  <c:v>0.64229317756666338</c:v>
                </c:pt>
                <c:pt idx="26">
                  <c:v>0.6548614820756089</c:v>
                </c:pt>
                <c:pt idx="27">
                  <c:v>0.65737710603441724</c:v>
                </c:pt>
                <c:pt idx="28">
                  <c:v>0.67284539072177318</c:v>
                </c:pt>
                <c:pt idx="29">
                  <c:v>0.61997632436031491</c:v>
                </c:pt>
                <c:pt idx="30">
                  <c:v>0.5919386670379192</c:v>
                </c:pt>
                <c:pt idx="31">
                  <c:v>0.6639105734492089</c:v>
                </c:pt>
                <c:pt idx="32">
                  <c:v>0.66719584072539639</c:v>
                </c:pt>
                <c:pt idx="33">
                  <c:v>0.65983552701280823</c:v>
                </c:pt>
                <c:pt idx="34">
                  <c:v>0.64631326544502254</c:v>
                </c:pt>
                <c:pt idx="35">
                  <c:v>0.63809517999085175</c:v>
                </c:pt>
                <c:pt idx="36">
                  <c:v>0.64577154251890556</c:v>
                </c:pt>
                <c:pt idx="37">
                  <c:v>0.6609148773034228</c:v>
                </c:pt>
                <c:pt idx="38">
                  <c:v>0.66508401464133171</c:v>
                </c:pt>
                <c:pt idx="39">
                  <c:v>0.66246581302532015</c:v>
                </c:pt>
                <c:pt idx="40">
                  <c:v>0.66164323845323192</c:v>
                </c:pt>
                <c:pt idx="41">
                  <c:v>0.65761427881450174</c:v>
                </c:pt>
                <c:pt idx="42">
                  <c:v>0.65163958039771142</c:v>
                </c:pt>
                <c:pt idx="43">
                  <c:v>0.65363442338025091</c:v>
                </c:pt>
                <c:pt idx="44">
                  <c:v>0.64214077452563445</c:v>
                </c:pt>
                <c:pt idx="45">
                  <c:v>0.63442196983470778</c:v>
                </c:pt>
                <c:pt idx="46">
                  <c:v>0.62134445191048127</c:v>
                </c:pt>
                <c:pt idx="47">
                  <c:v>0.61784122574371514</c:v>
                </c:pt>
                <c:pt idx="48">
                  <c:v>0.62272142463184488</c:v>
                </c:pt>
                <c:pt idx="49">
                  <c:v>0.63694537427375375</c:v>
                </c:pt>
                <c:pt idx="50">
                  <c:v>0.63598912326299584</c:v>
                </c:pt>
                <c:pt idx="51">
                  <c:v>0.63825099916685435</c:v>
                </c:pt>
                <c:pt idx="52">
                  <c:v>0.62312672613514708</c:v>
                </c:pt>
                <c:pt idx="53">
                  <c:v>0.61891261546796905</c:v>
                </c:pt>
                <c:pt idx="54">
                  <c:v>0.61754890847101285</c:v>
                </c:pt>
                <c:pt idx="55">
                  <c:v>0.61128565091714404</c:v>
                </c:pt>
                <c:pt idx="56">
                  <c:v>0.60237585210879085</c:v>
                </c:pt>
                <c:pt idx="57">
                  <c:v>0.6037568407040379</c:v>
                </c:pt>
                <c:pt idx="58">
                  <c:v>0.58905285154855413</c:v>
                </c:pt>
                <c:pt idx="59">
                  <c:v>0.58297812208837774</c:v>
                </c:pt>
                <c:pt idx="60">
                  <c:v>0.5907809810546879</c:v>
                </c:pt>
                <c:pt idx="61">
                  <c:v>0.60419942207783395</c:v>
                </c:pt>
                <c:pt idx="62">
                  <c:v>0.61115033319427681</c:v>
                </c:pt>
                <c:pt idx="63">
                  <c:v>0.60336477967843671</c:v>
                </c:pt>
                <c:pt idx="64">
                  <c:v>0.60259954505521307</c:v>
                </c:pt>
                <c:pt idx="65">
                  <c:v>0.60268506269615918</c:v>
                </c:pt>
                <c:pt idx="66">
                  <c:v>0.60715598517437763</c:v>
                </c:pt>
                <c:pt idx="67">
                  <c:v>0.61059070178378261</c:v>
                </c:pt>
                <c:pt idx="68">
                  <c:v>0.62302553668090033</c:v>
                </c:pt>
                <c:pt idx="69">
                  <c:v>0.61761623515164787</c:v>
                </c:pt>
                <c:pt idx="70">
                  <c:v>0.60300211811283122</c:v>
                </c:pt>
                <c:pt idx="71">
                  <c:v>0.5988076658128465</c:v>
                </c:pt>
                <c:pt idx="72">
                  <c:v>0.60347869554079414</c:v>
                </c:pt>
                <c:pt idx="73">
                  <c:v>0.61862039534858582</c:v>
                </c:pt>
                <c:pt idx="74">
                  <c:v>0.62477672776824045</c:v>
                </c:pt>
                <c:pt idx="75">
                  <c:v>0.6281737304487629</c:v>
                </c:pt>
                <c:pt idx="76">
                  <c:v>0.63068911980121645</c:v>
                </c:pt>
                <c:pt idx="77">
                  <c:v>0.62605460642940025</c:v>
                </c:pt>
                <c:pt idx="78">
                  <c:v>0.6283546606318321</c:v>
                </c:pt>
                <c:pt idx="79">
                  <c:v>0.64067948626370652</c:v>
                </c:pt>
                <c:pt idx="80">
                  <c:v>0.64738652405852337</c:v>
                </c:pt>
                <c:pt idx="81">
                  <c:v>0.63124359104969552</c:v>
                </c:pt>
                <c:pt idx="82">
                  <c:v>0.61685747346594766</c:v>
                </c:pt>
                <c:pt idx="83">
                  <c:v>0.60470117608654672</c:v>
                </c:pt>
                <c:pt idx="84">
                  <c:v>0.60963392014440132</c:v>
                </c:pt>
                <c:pt idx="85">
                  <c:v>0.61036064850482963</c:v>
                </c:pt>
                <c:pt idx="86">
                  <c:v>0.60920642271383019</c:v>
                </c:pt>
                <c:pt idx="87">
                  <c:v>0.59227399285015214</c:v>
                </c:pt>
                <c:pt idx="88">
                  <c:v>0.58175954961157061</c:v>
                </c:pt>
                <c:pt idx="89">
                  <c:v>0.56601817158301337</c:v>
                </c:pt>
                <c:pt idx="90">
                  <c:v>0.55781398888811129</c:v>
                </c:pt>
                <c:pt idx="91">
                  <c:v>0.55636458961880975</c:v>
                </c:pt>
                <c:pt idx="92">
                  <c:v>0.54867902342832564</c:v>
                </c:pt>
                <c:pt idx="93">
                  <c:v>0.53950167423097151</c:v>
                </c:pt>
                <c:pt idx="94">
                  <c:v>0.52629550942846715</c:v>
                </c:pt>
                <c:pt idx="95">
                  <c:v>0.51949686347685309</c:v>
                </c:pt>
                <c:pt idx="96">
                  <c:v>0.53134271357248852</c:v>
                </c:pt>
                <c:pt idx="97">
                  <c:v>0.54555140718695261</c:v>
                </c:pt>
                <c:pt idx="98">
                  <c:v>0.55279791719868465</c:v>
                </c:pt>
                <c:pt idx="99">
                  <c:v>0.55546467791872789</c:v>
                </c:pt>
                <c:pt idx="100">
                  <c:v>0.55205770746866956</c:v>
                </c:pt>
                <c:pt idx="101">
                  <c:v>0.55414288391758371</c:v>
                </c:pt>
                <c:pt idx="102">
                  <c:v>0.54191228468620534</c:v>
                </c:pt>
                <c:pt idx="103">
                  <c:v>0.54752392673505623</c:v>
                </c:pt>
                <c:pt idx="104">
                  <c:v>0.54241674078236868</c:v>
                </c:pt>
                <c:pt idx="105">
                  <c:v>0.53757711898794613</c:v>
                </c:pt>
                <c:pt idx="106">
                  <c:v>0.52087221768653713</c:v>
                </c:pt>
                <c:pt idx="107">
                  <c:v>0.51304062906689141</c:v>
                </c:pt>
                <c:pt idx="108">
                  <c:v>0.51493521608247872</c:v>
                </c:pt>
                <c:pt idx="109">
                  <c:v>0.52512964416439156</c:v>
                </c:pt>
                <c:pt idx="110">
                  <c:v>0.52823174562743203</c:v>
                </c:pt>
                <c:pt idx="111">
                  <c:v>0.52551621379273517</c:v>
                </c:pt>
                <c:pt idx="112">
                  <c:v>0.52090338966950855</c:v>
                </c:pt>
                <c:pt idx="113">
                  <c:v>0.51587246022707145</c:v>
                </c:pt>
                <c:pt idx="114">
                  <c:v>0.5167805443892779</c:v>
                </c:pt>
                <c:pt idx="115">
                  <c:v>0.51840775960588092</c:v>
                </c:pt>
                <c:pt idx="116">
                  <c:v>0.50712577243485224</c:v>
                </c:pt>
                <c:pt idx="117">
                  <c:v>0.48857064947469175</c:v>
                </c:pt>
                <c:pt idx="118">
                  <c:v>0.46785707942401322</c:v>
                </c:pt>
                <c:pt idx="119">
                  <c:v>0.45515141241762525</c:v>
                </c:pt>
                <c:pt idx="120">
                  <c:v>0.46374902143018309</c:v>
                </c:pt>
                <c:pt idx="121">
                  <c:v>0.46649635078681279</c:v>
                </c:pt>
                <c:pt idx="122">
                  <c:v>0.46446721531137786</c:v>
                </c:pt>
                <c:pt idx="123">
                  <c:v>0.46766602947250818</c:v>
                </c:pt>
                <c:pt idx="124">
                  <c:v>0.45821492525692931</c:v>
                </c:pt>
                <c:pt idx="125">
                  <c:v>0.44263552717826704</c:v>
                </c:pt>
                <c:pt idx="126">
                  <c:v>0.44093686142604677</c:v>
                </c:pt>
                <c:pt idx="127">
                  <c:v>0.42415505838755524</c:v>
                </c:pt>
                <c:pt idx="128">
                  <c:v>0.40942224207693562</c:v>
                </c:pt>
                <c:pt idx="129">
                  <c:v>0.37597440632119572</c:v>
                </c:pt>
                <c:pt idx="130">
                  <c:v>0.3661281779661017</c:v>
                </c:pt>
                <c:pt idx="131">
                  <c:v>0.37132573485302939</c:v>
                </c:pt>
                <c:pt idx="132">
                  <c:v>0.38979675782696399</c:v>
                </c:pt>
                <c:pt idx="133">
                  <c:v>0.39542910314901941</c:v>
                </c:pt>
                <c:pt idx="134">
                  <c:v>0.40797134130091633</c:v>
                </c:pt>
                <c:pt idx="135">
                  <c:v>0.4090514748409485</c:v>
                </c:pt>
                <c:pt idx="136">
                  <c:v>0.41129140404988601</c:v>
                </c:pt>
                <c:pt idx="137">
                  <c:v>0.40682101684692462</c:v>
                </c:pt>
                <c:pt idx="138">
                  <c:v>0.41488306165839828</c:v>
                </c:pt>
                <c:pt idx="139">
                  <c:v>0.41716991397955838</c:v>
                </c:pt>
                <c:pt idx="140">
                  <c:v>0.40385898001935122</c:v>
                </c:pt>
                <c:pt idx="141">
                  <c:v>0.38817358546507313</c:v>
                </c:pt>
                <c:pt idx="142">
                  <c:v>0.38627730859204629</c:v>
                </c:pt>
                <c:pt idx="143">
                  <c:v>0.39591014794987833</c:v>
                </c:pt>
                <c:pt idx="144">
                  <c:v>0.41452378547621449</c:v>
                </c:pt>
                <c:pt idx="145">
                  <c:v>0.42657158769478076</c:v>
                </c:pt>
                <c:pt idx="146">
                  <c:v>0.43082223242994944</c:v>
                </c:pt>
                <c:pt idx="147">
                  <c:v>0.43050569690342105</c:v>
                </c:pt>
                <c:pt idx="148">
                  <c:v>0.43660691438339644</c:v>
                </c:pt>
                <c:pt idx="149">
                  <c:v>0.42697580686343028</c:v>
                </c:pt>
                <c:pt idx="150">
                  <c:v>0.42080908347601786</c:v>
                </c:pt>
                <c:pt idx="151">
                  <c:v>0.40079302523764404</c:v>
                </c:pt>
                <c:pt idx="152">
                  <c:v>0.38729183574236159</c:v>
                </c:pt>
                <c:pt idx="153">
                  <c:v>0.37439909415087014</c:v>
                </c:pt>
                <c:pt idx="154">
                  <c:v>0.37310234900222189</c:v>
                </c:pt>
                <c:pt idx="155">
                  <c:v>0.35840624073713884</c:v>
                </c:pt>
                <c:pt idx="156">
                  <c:v>0.36567364265361035</c:v>
                </c:pt>
                <c:pt idx="157">
                  <c:v>0.36881317240880768</c:v>
                </c:pt>
                <c:pt idx="158">
                  <c:v>0.36356350923157688</c:v>
                </c:pt>
                <c:pt idx="159">
                  <c:v>0.36833116191461984</c:v>
                </c:pt>
                <c:pt idx="160">
                  <c:v>0.3363311839666065</c:v>
                </c:pt>
                <c:pt idx="161">
                  <c:v>0.34529840509864163</c:v>
                </c:pt>
              </c:numCache>
            </c:numRef>
          </c:val>
          <c:smooth val="0"/>
          <c:extLst>
            <c:ext xmlns:c16="http://schemas.microsoft.com/office/drawing/2014/chart" uri="{C3380CC4-5D6E-409C-BE32-E72D297353CC}">
              <c16:uniqueId val="{00000001-8BF7-FF42-B7C4-DA9BC88E2CFE}"/>
            </c:ext>
          </c:extLst>
        </c:ser>
        <c:ser>
          <c:idx val="2"/>
          <c:order val="2"/>
          <c:tx>
            <c:v>Large C&amp;I</c:v>
          </c:tx>
          <c:spPr>
            <a:ln w="12700">
              <a:solidFill>
                <a:schemeClr val="accent2">
                  <a:lumMod val="60000"/>
                  <a:lumOff val="40000"/>
                </a:schemeClr>
              </a:solidFill>
              <a:prstDash val="solid"/>
            </a:ln>
          </c:spPr>
          <c:marker>
            <c:symbol val="none"/>
          </c:marker>
          <c:cat>
            <c:numRef>
              <c:f>Load!$A$6:$A$235</c:f>
              <c:numCache>
                <c:formatCode>mmm\-yy</c:formatCode>
                <c:ptCount val="230"/>
                <c:pt idx="2">
                  <c:v>43586</c:v>
                </c:pt>
                <c:pt idx="3">
                  <c:v>43556</c:v>
                </c:pt>
                <c:pt idx="4">
                  <c:v>43525</c:v>
                </c:pt>
                <c:pt idx="5">
                  <c:v>43497</c:v>
                </c:pt>
                <c:pt idx="6">
                  <c:v>43466</c:v>
                </c:pt>
                <c:pt idx="7">
                  <c:v>43435</c:v>
                </c:pt>
                <c:pt idx="8">
                  <c:v>43405</c:v>
                </c:pt>
                <c:pt idx="9">
                  <c:v>43404</c:v>
                </c:pt>
                <c:pt idx="10">
                  <c:v>43361</c:v>
                </c:pt>
                <c:pt idx="11">
                  <c:v>43330</c:v>
                </c:pt>
                <c:pt idx="12">
                  <c:v>43282</c:v>
                </c:pt>
                <c:pt idx="13">
                  <c:v>43252</c:v>
                </c:pt>
                <c:pt idx="14">
                  <c:v>43221</c:v>
                </c:pt>
                <c:pt idx="15">
                  <c:v>43191</c:v>
                </c:pt>
                <c:pt idx="16">
                  <c:v>43160</c:v>
                </c:pt>
                <c:pt idx="17">
                  <c:v>43149</c:v>
                </c:pt>
                <c:pt idx="18">
                  <c:v>43101</c:v>
                </c:pt>
                <c:pt idx="19">
                  <c:v>43070</c:v>
                </c:pt>
                <c:pt idx="20">
                  <c:v>43040</c:v>
                </c:pt>
                <c:pt idx="21">
                  <c:v>43009</c:v>
                </c:pt>
                <c:pt idx="22">
                  <c:v>42979</c:v>
                </c:pt>
                <c:pt idx="23">
                  <c:v>42948</c:v>
                </c:pt>
                <c:pt idx="24">
                  <c:v>42917</c:v>
                </c:pt>
                <c:pt idx="25">
                  <c:v>42887</c:v>
                </c:pt>
                <c:pt idx="26">
                  <c:v>42856</c:v>
                </c:pt>
                <c:pt idx="27">
                  <c:v>42826</c:v>
                </c:pt>
                <c:pt idx="28">
                  <c:v>42795</c:v>
                </c:pt>
                <c:pt idx="29">
                  <c:v>42767</c:v>
                </c:pt>
                <c:pt idx="30">
                  <c:v>42736</c:v>
                </c:pt>
                <c:pt idx="31">
                  <c:v>42705</c:v>
                </c:pt>
                <c:pt idx="32">
                  <c:v>42675</c:v>
                </c:pt>
                <c:pt idx="33">
                  <c:v>42644</c:v>
                </c:pt>
                <c:pt idx="34">
                  <c:v>42614</c:v>
                </c:pt>
                <c:pt idx="35">
                  <c:v>42583</c:v>
                </c:pt>
                <c:pt idx="36">
                  <c:v>42552</c:v>
                </c:pt>
                <c:pt idx="37">
                  <c:v>42522</c:v>
                </c:pt>
                <c:pt idx="38">
                  <c:v>42491</c:v>
                </c:pt>
                <c:pt idx="39">
                  <c:v>42461</c:v>
                </c:pt>
                <c:pt idx="40">
                  <c:v>42430</c:v>
                </c:pt>
                <c:pt idx="41">
                  <c:v>42401</c:v>
                </c:pt>
                <c:pt idx="42">
                  <c:v>42370</c:v>
                </c:pt>
                <c:pt idx="43">
                  <c:v>42339</c:v>
                </c:pt>
                <c:pt idx="44">
                  <c:v>42309</c:v>
                </c:pt>
                <c:pt idx="45">
                  <c:v>42278</c:v>
                </c:pt>
                <c:pt idx="46">
                  <c:v>42248</c:v>
                </c:pt>
                <c:pt idx="47">
                  <c:v>42217</c:v>
                </c:pt>
                <c:pt idx="48">
                  <c:v>42186</c:v>
                </c:pt>
                <c:pt idx="49">
                  <c:v>42156</c:v>
                </c:pt>
                <c:pt idx="50">
                  <c:v>42125</c:v>
                </c:pt>
                <c:pt idx="51">
                  <c:v>42095</c:v>
                </c:pt>
                <c:pt idx="52">
                  <c:v>42064</c:v>
                </c:pt>
                <c:pt idx="53">
                  <c:v>42036</c:v>
                </c:pt>
                <c:pt idx="54">
                  <c:v>42005</c:v>
                </c:pt>
                <c:pt idx="55">
                  <c:v>41974</c:v>
                </c:pt>
                <c:pt idx="56">
                  <c:v>41944</c:v>
                </c:pt>
                <c:pt idx="57">
                  <c:v>41926</c:v>
                </c:pt>
                <c:pt idx="58">
                  <c:v>41883</c:v>
                </c:pt>
                <c:pt idx="59">
                  <c:v>41852</c:v>
                </c:pt>
                <c:pt idx="60">
                  <c:v>41821</c:v>
                </c:pt>
                <c:pt idx="61">
                  <c:v>41791</c:v>
                </c:pt>
                <c:pt idx="62">
                  <c:v>41760</c:v>
                </c:pt>
                <c:pt idx="63">
                  <c:v>41730</c:v>
                </c:pt>
                <c:pt idx="64">
                  <c:v>41699</c:v>
                </c:pt>
                <c:pt idx="65">
                  <c:v>41671</c:v>
                </c:pt>
                <c:pt idx="66">
                  <c:v>41640</c:v>
                </c:pt>
                <c:pt idx="67">
                  <c:v>41609</c:v>
                </c:pt>
                <c:pt idx="68">
                  <c:v>41579</c:v>
                </c:pt>
                <c:pt idx="69">
                  <c:v>41548</c:v>
                </c:pt>
                <c:pt idx="70">
                  <c:v>41518</c:v>
                </c:pt>
                <c:pt idx="71">
                  <c:v>41487</c:v>
                </c:pt>
                <c:pt idx="72">
                  <c:v>41456</c:v>
                </c:pt>
                <c:pt idx="73">
                  <c:v>41426</c:v>
                </c:pt>
                <c:pt idx="74">
                  <c:v>41395</c:v>
                </c:pt>
                <c:pt idx="75">
                  <c:v>41365</c:v>
                </c:pt>
                <c:pt idx="76">
                  <c:v>41334</c:v>
                </c:pt>
                <c:pt idx="77">
                  <c:v>41306</c:v>
                </c:pt>
                <c:pt idx="78">
                  <c:v>41275</c:v>
                </c:pt>
                <c:pt idx="79">
                  <c:v>41244</c:v>
                </c:pt>
                <c:pt idx="80">
                  <c:v>41214</c:v>
                </c:pt>
                <c:pt idx="81">
                  <c:v>41183</c:v>
                </c:pt>
                <c:pt idx="82">
                  <c:v>41153</c:v>
                </c:pt>
                <c:pt idx="83">
                  <c:v>41122</c:v>
                </c:pt>
                <c:pt idx="84">
                  <c:v>41091</c:v>
                </c:pt>
                <c:pt idx="85">
                  <c:v>41061</c:v>
                </c:pt>
                <c:pt idx="86">
                  <c:v>41030</c:v>
                </c:pt>
                <c:pt idx="87">
                  <c:v>41000</c:v>
                </c:pt>
                <c:pt idx="88">
                  <c:v>40969</c:v>
                </c:pt>
                <c:pt idx="89">
                  <c:v>40940</c:v>
                </c:pt>
                <c:pt idx="90">
                  <c:v>40909</c:v>
                </c:pt>
                <c:pt idx="91">
                  <c:v>40878</c:v>
                </c:pt>
                <c:pt idx="92">
                  <c:v>40848</c:v>
                </c:pt>
                <c:pt idx="93">
                  <c:v>40817</c:v>
                </c:pt>
                <c:pt idx="94">
                  <c:v>40797</c:v>
                </c:pt>
                <c:pt idx="95">
                  <c:v>40756</c:v>
                </c:pt>
                <c:pt idx="96">
                  <c:v>40725</c:v>
                </c:pt>
                <c:pt idx="97">
                  <c:v>40695</c:v>
                </c:pt>
                <c:pt idx="98">
                  <c:v>40664</c:v>
                </c:pt>
                <c:pt idx="99">
                  <c:v>40634</c:v>
                </c:pt>
                <c:pt idx="100">
                  <c:v>40603</c:v>
                </c:pt>
                <c:pt idx="101">
                  <c:v>40575</c:v>
                </c:pt>
                <c:pt idx="102" formatCode="[$-409]mmm\-yy;@">
                  <c:v>40544</c:v>
                </c:pt>
                <c:pt idx="103" formatCode="[$-409]mmm\-yy;@">
                  <c:v>40513</c:v>
                </c:pt>
                <c:pt idx="104" formatCode="[$-409]mmm\-yy;@">
                  <c:v>40483</c:v>
                </c:pt>
                <c:pt idx="105" formatCode="[$-409]mmm\-yy;@">
                  <c:v>40452</c:v>
                </c:pt>
                <c:pt idx="106" formatCode="[$-409]mmm\-yy;@">
                  <c:v>40422</c:v>
                </c:pt>
                <c:pt idx="107" formatCode="[$-409]mmm\-yy;@">
                  <c:v>40391</c:v>
                </c:pt>
                <c:pt idx="108" formatCode="[$-409]mmm\-yy;@">
                  <c:v>40360</c:v>
                </c:pt>
                <c:pt idx="109" formatCode="[$-409]mmm\-yy;@">
                  <c:v>40330</c:v>
                </c:pt>
                <c:pt idx="110" formatCode="[$-409]mmm\-yy;@">
                  <c:v>40299</c:v>
                </c:pt>
                <c:pt idx="111" formatCode="[$-409]mmm\-yy;@">
                  <c:v>40269</c:v>
                </c:pt>
                <c:pt idx="112" formatCode="[$-409]mmm\-yy;@">
                  <c:v>40238</c:v>
                </c:pt>
                <c:pt idx="113" formatCode="[$-409]mmm\-yy;@">
                  <c:v>40210</c:v>
                </c:pt>
                <c:pt idx="114" formatCode="[$-409]mmm\-yy;@">
                  <c:v>40179</c:v>
                </c:pt>
                <c:pt idx="115" formatCode="[$-409]mmm\-yy;@">
                  <c:v>40148</c:v>
                </c:pt>
                <c:pt idx="116" formatCode="[$-409]mmm\-yy;@">
                  <c:v>40118</c:v>
                </c:pt>
                <c:pt idx="117" formatCode="[$-409]mmm\-yy;@">
                  <c:v>40087</c:v>
                </c:pt>
                <c:pt idx="118" formatCode="[$-409]mmm\-yy;@">
                  <c:v>40057</c:v>
                </c:pt>
                <c:pt idx="119" formatCode="[$-409]mmm\-yy;@">
                  <c:v>40026</c:v>
                </c:pt>
                <c:pt idx="120" formatCode="[$-409]mmm\-yy;@">
                  <c:v>39995</c:v>
                </c:pt>
                <c:pt idx="121" formatCode="[$-409]mmm\-yy;@">
                  <c:v>39965</c:v>
                </c:pt>
                <c:pt idx="122" formatCode="[$-409]mmm\-yy;@">
                  <c:v>39934</c:v>
                </c:pt>
                <c:pt idx="123" formatCode="[$-409]mmm\-yy;@">
                  <c:v>39904</c:v>
                </c:pt>
                <c:pt idx="124" formatCode="[$-409]mmm\-yy;@">
                  <c:v>39873</c:v>
                </c:pt>
                <c:pt idx="125" formatCode="[$-409]mmm\-yy;@">
                  <c:v>39845</c:v>
                </c:pt>
                <c:pt idx="126" formatCode="[$-409]mmm\-yy;@">
                  <c:v>39814</c:v>
                </c:pt>
                <c:pt idx="127" formatCode="[$-409]mmm\-yy;@">
                  <c:v>39783</c:v>
                </c:pt>
                <c:pt idx="128" formatCode="[$-409]mmm\-yy;@">
                  <c:v>39753</c:v>
                </c:pt>
                <c:pt idx="129" formatCode="[$-409]mmm\-yy;@">
                  <c:v>39722</c:v>
                </c:pt>
                <c:pt idx="130" formatCode="[$-409]mmm\-yy;@">
                  <c:v>39692</c:v>
                </c:pt>
                <c:pt idx="131" formatCode="[$-409]mmm\-yy;@">
                  <c:v>39661</c:v>
                </c:pt>
                <c:pt idx="132" formatCode="[$-409]mmm\-yy;@">
                  <c:v>39630</c:v>
                </c:pt>
                <c:pt idx="133" formatCode="[$-409]mmm\-yy;@">
                  <c:v>39600</c:v>
                </c:pt>
                <c:pt idx="134" formatCode="[$-409]mmm\-yy;@">
                  <c:v>39569</c:v>
                </c:pt>
                <c:pt idx="135" formatCode="[$-409]mmm\-yy;@">
                  <c:v>39539</c:v>
                </c:pt>
                <c:pt idx="136" formatCode="[$-409]mmm\-yy;@">
                  <c:v>39508</c:v>
                </c:pt>
                <c:pt idx="137" formatCode="[$-409]mmm\-yy;@">
                  <c:v>39479</c:v>
                </c:pt>
                <c:pt idx="138" formatCode="[$-409]mmm\-yy;@">
                  <c:v>39448</c:v>
                </c:pt>
                <c:pt idx="139" formatCode="[$-409]mmm\-yy;@">
                  <c:v>39417</c:v>
                </c:pt>
                <c:pt idx="140" formatCode="[$-409]mmm\-yy;@">
                  <c:v>39387</c:v>
                </c:pt>
                <c:pt idx="141" formatCode="[$-409]mmm\-yy;@">
                  <c:v>39356</c:v>
                </c:pt>
                <c:pt idx="142" formatCode="[$-409]mmm\-yy;@">
                  <c:v>39326</c:v>
                </c:pt>
                <c:pt idx="143" formatCode="[$-409]mmm\-yy;@">
                  <c:v>39295</c:v>
                </c:pt>
                <c:pt idx="144" formatCode="[$-409]mmm\-yy;@">
                  <c:v>39264</c:v>
                </c:pt>
                <c:pt idx="145" formatCode="[$-409]mmm\-yy;@">
                  <c:v>39234</c:v>
                </c:pt>
                <c:pt idx="146" formatCode="[$-409]mmm\-yy;@">
                  <c:v>39203</c:v>
                </c:pt>
                <c:pt idx="147" formatCode="[$-409]mmm\-yy;@">
                  <c:v>39173</c:v>
                </c:pt>
                <c:pt idx="148" formatCode="[$-409]mmm\-yy;@">
                  <c:v>39142</c:v>
                </c:pt>
                <c:pt idx="149" formatCode="[$-409]mmm\-yy;@">
                  <c:v>39114</c:v>
                </c:pt>
                <c:pt idx="150" formatCode="[$-409]mmm\-yy;@">
                  <c:v>39083</c:v>
                </c:pt>
                <c:pt idx="151" formatCode="[$-409]mmm\-yy;@">
                  <c:v>39052</c:v>
                </c:pt>
                <c:pt idx="152" formatCode="[$-409]mmm\-yy;@">
                  <c:v>39022</c:v>
                </c:pt>
                <c:pt idx="153" formatCode="[$-409]mmm\-yy;@">
                  <c:v>38991</c:v>
                </c:pt>
                <c:pt idx="154" formatCode="[$-409]mmm\-yy;@">
                  <c:v>38961</c:v>
                </c:pt>
                <c:pt idx="155" formatCode="[$-409]mmm\-yy;@">
                  <c:v>38930</c:v>
                </c:pt>
                <c:pt idx="156" formatCode="[$-409]mmm\-yy;@">
                  <c:v>38899</c:v>
                </c:pt>
                <c:pt idx="157" formatCode="[$-409]mmm\-yy;@">
                  <c:v>38869</c:v>
                </c:pt>
                <c:pt idx="158" formatCode="[$-409]mmm\-yy;@">
                  <c:v>38838</c:v>
                </c:pt>
                <c:pt idx="159" formatCode="[$-409]mmm\-yy;@">
                  <c:v>38808</c:v>
                </c:pt>
                <c:pt idx="160" formatCode="[$-409]mmm\-yy;@">
                  <c:v>38777</c:v>
                </c:pt>
                <c:pt idx="161" formatCode="[$-409]mmm\-yy;@">
                  <c:v>38749</c:v>
                </c:pt>
                <c:pt idx="162" formatCode="[$-409]mmm\-yy;@">
                  <c:v>38718</c:v>
                </c:pt>
                <c:pt idx="163" formatCode="[$-409]mmm\-yy;@">
                  <c:v>38687</c:v>
                </c:pt>
                <c:pt idx="164" formatCode="[$-409]mmm\-yy;@">
                  <c:v>38657</c:v>
                </c:pt>
                <c:pt idx="165" formatCode="[$-409]mmm\-yy;@">
                  <c:v>38626</c:v>
                </c:pt>
                <c:pt idx="166" formatCode="[$-409]mmm\-yy;@">
                  <c:v>38596</c:v>
                </c:pt>
                <c:pt idx="167" formatCode="[$-409]mmm\-yy;@">
                  <c:v>38565</c:v>
                </c:pt>
                <c:pt idx="168" formatCode="[$-409]mmm\-yy;@">
                  <c:v>38534</c:v>
                </c:pt>
                <c:pt idx="169" formatCode="[$-409]mmm\-yy;@">
                  <c:v>38504</c:v>
                </c:pt>
                <c:pt idx="170" formatCode="[$-409]mmm\-yy;@">
                  <c:v>38473</c:v>
                </c:pt>
                <c:pt idx="171" formatCode="[$-409]mmm\-yy;@">
                  <c:v>38443</c:v>
                </c:pt>
                <c:pt idx="172" formatCode="[$-409]mmm\-yy;@">
                  <c:v>38412</c:v>
                </c:pt>
                <c:pt idx="173" formatCode="[$-409]mmm\-yy;@">
                  <c:v>38384</c:v>
                </c:pt>
                <c:pt idx="174" formatCode="[$-409]mmm\-yy;@">
                  <c:v>38353</c:v>
                </c:pt>
                <c:pt idx="175" formatCode="[$-409]mmm\-yy;@">
                  <c:v>38322</c:v>
                </c:pt>
                <c:pt idx="176" formatCode="[$-409]mmm\-yy;@">
                  <c:v>38292</c:v>
                </c:pt>
                <c:pt idx="177" formatCode="[$-409]mmm\-yy;@">
                  <c:v>38261</c:v>
                </c:pt>
                <c:pt idx="178" formatCode="[$-409]mmm\-yy;@">
                  <c:v>38231</c:v>
                </c:pt>
                <c:pt idx="179" formatCode="[$-409]mmm\-yy;@">
                  <c:v>38200</c:v>
                </c:pt>
                <c:pt idx="180" formatCode="[$-409]mmm\-yy;@">
                  <c:v>38169</c:v>
                </c:pt>
                <c:pt idx="181" formatCode="[$-409]mmm\-yy;@">
                  <c:v>38139</c:v>
                </c:pt>
                <c:pt idx="182" formatCode="[$-409]mmm\-yy;@">
                  <c:v>38108</c:v>
                </c:pt>
                <c:pt idx="183" formatCode="[$-409]mmm\-yy;@">
                  <c:v>38078</c:v>
                </c:pt>
                <c:pt idx="184" formatCode="[$-409]mmm\-yy;@">
                  <c:v>38047</c:v>
                </c:pt>
                <c:pt idx="185" formatCode="[$-409]mmm\-yy;@">
                  <c:v>38018</c:v>
                </c:pt>
                <c:pt idx="186" formatCode="[$-409]mmm\-yy;@">
                  <c:v>37987</c:v>
                </c:pt>
                <c:pt idx="187" formatCode="[$-409]mmm\-yy;@">
                  <c:v>37956</c:v>
                </c:pt>
                <c:pt idx="188" formatCode="[$-409]mmm\-yy;@">
                  <c:v>37926</c:v>
                </c:pt>
                <c:pt idx="189" formatCode="[$-409]mmm\-yy;@">
                  <c:v>37895</c:v>
                </c:pt>
                <c:pt idx="190" formatCode="[$-409]mmm\-yy;@">
                  <c:v>37865</c:v>
                </c:pt>
                <c:pt idx="191" formatCode="[$-409]mmm\-yy;@">
                  <c:v>37834</c:v>
                </c:pt>
                <c:pt idx="192" formatCode="[$-409]mmm\-yy;@">
                  <c:v>37803</c:v>
                </c:pt>
                <c:pt idx="193" formatCode="[$-409]mmm\-yy;@">
                  <c:v>37773</c:v>
                </c:pt>
                <c:pt idx="194" formatCode="[$-409]mmm\-yy;@">
                  <c:v>37742</c:v>
                </c:pt>
                <c:pt idx="195" formatCode="[$-409]mmm\-yy;@">
                  <c:v>37712</c:v>
                </c:pt>
                <c:pt idx="196" formatCode="[$-409]mmm\-yy;@">
                  <c:v>37681</c:v>
                </c:pt>
                <c:pt idx="197" formatCode="[$-409]mmm\-yy;@">
                  <c:v>37653</c:v>
                </c:pt>
                <c:pt idx="198" formatCode="[$-409]mmm\-yy;@">
                  <c:v>37622</c:v>
                </c:pt>
                <c:pt idx="199" formatCode="[$-409]mmm\-yy;@">
                  <c:v>37591</c:v>
                </c:pt>
                <c:pt idx="200" formatCode="[$-409]mmm\-yy;@">
                  <c:v>37561</c:v>
                </c:pt>
                <c:pt idx="201" formatCode="[$-409]mmm\-yy;@">
                  <c:v>37530</c:v>
                </c:pt>
                <c:pt idx="202" formatCode="[$-409]mmm\-yy;@">
                  <c:v>37500</c:v>
                </c:pt>
                <c:pt idx="203" formatCode="[$-409]mmm\-yy;@">
                  <c:v>37469</c:v>
                </c:pt>
                <c:pt idx="204" formatCode="[$-409]mmm\-yy;@">
                  <c:v>37438</c:v>
                </c:pt>
                <c:pt idx="205" formatCode="[$-409]mmm\-yy;@">
                  <c:v>37408</c:v>
                </c:pt>
                <c:pt idx="206" formatCode="[$-409]mmm\-yy;@">
                  <c:v>37377</c:v>
                </c:pt>
                <c:pt idx="207" formatCode="[$-409]mmm\-yy;@">
                  <c:v>37347</c:v>
                </c:pt>
                <c:pt idx="208" formatCode="[$-409]mmm\-yy;@">
                  <c:v>37316</c:v>
                </c:pt>
                <c:pt idx="209" formatCode="[$-409]mmm\-yy;@">
                  <c:v>37288</c:v>
                </c:pt>
                <c:pt idx="210" formatCode="[$-409]mmm\-yy;@">
                  <c:v>37257</c:v>
                </c:pt>
                <c:pt idx="211" formatCode="[$-409]mmm\-yy;@">
                  <c:v>37226</c:v>
                </c:pt>
                <c:pt idx="212" formatCode="[$-409]mmm\-yy;@">
                  <c:v>37196</c:v>
                </c:pt>
                <c:pt idx="213" formatCode="[$-409]mmm\-yy;@">
                  <c:v>37165</c:v>
                </c:pt>
                <c:pt idx="214" formatCode="[$-409]mmm\-yy;@">
                  <c:v>37135</c:v>
                </c:pt>
                <c:pt idx="215" formatCode="[$-409]mmm\-yy;@">
                  <c:v>37104</c:v>
                </c:pt>
                <c:pt idx="216" formatCode="[$-409]mmm\-yy;@">
                  <c:v>37073</c:v>
                </c:pt>
                <c:pt idx="217" formatCode="[$-409]mmm\-yy;@">
                  <c:v>37043</c:v>
                </c:pt>
                <c:pt idx="218" formatCode="[$-409]mmm\-yy;@">
                  <c:v>37012</c:v>
                </c:pt>
                <c:pt idx="219" formatCode="[$-409]mmm\-yy;@">
                  <c:v>36982</c:v>
                </c:pt>
                <c:pt idx="220" formatCode="[$-409]mmm\-yy;@">
                  <c:v>36951</c:v>
                </c:pt>
                <c:pt idx="221" formatCode="[$-409]mmm\-yy;@">
                  <c:v>36923</c:v>
                </c:pt>
                <c:pt idx="222" formatCode="[$-409]mmm\-yy;@">
                  <c:v>36892</c:v>
                </c:pt>
                <c:pt idx="223" formatCode="[$-409]mmm\-yy;@">
                  <c:v>36861</c:v>
                </c:pt>
                <c:pt idx="224" formatCode="[$-409]mmm\-yy;@">
                  <c:v>36831</c:v>
                </c:pt>
                <c:pt idx="225" formatCode="[$-409]mmm\-yy;@">
                  <c:v>36800</c:v>
                </c:pt>
                <c:pt idx="226" formatCode="[$-409]mmm\-yy;@">
                  <c:v>36770</c:v>
                </c:pt>
                <c:pt idx="227" formatCode="[$-409]mmm\-yy;@">
                  <c:v>36739</c:v>
                </c:pt>
                <c:pt idx="228" formatCode="[$-409]mmm\-yy;@">
                  <c:v>36708</c:v>
                </c:pt>
                <c:pt idx="229" formatCode="[$-409]mmm\-yy;@">
                  <c:v>36678</c:v>
                </c:pt>
              </c:numCache>
            </c:numRef>
          </c:cat>
          <c:val>
            <c:numRef>
              <c:f>Load!$AQ$6:$AQ$168</c:f>
              <c:numCache>
                <c:formatCode>0.0%</c:formatCode>
                <c:ptCount val="163"/>
                <c:pt idx="2">
                  <c:v>0.97662332415179109</c:v>
                </c:pt>
                <c:pt idx="3">
                  <c:v>0.96676628318955193</c:v>
                </c:pt>
                <c:pt idx="4">
                  <c:v>0.96217869371220743</c:v>
                </c:pt>
                <c:pt idx="5">
                  <c:v>0.93914040953171607</c:v>
                </c:pt>
                <c:pt idx="6">
                  <c:v>0.96962846666279723</c:v>
                </c:pt>
                <c:pt idx="7">
                  <c:v>0.95276061900658116</c:v>
                </c:pt>
                <c:pt idx="8">
                  <c:v>0.97008086212763867</c:v>
                </c:pt>
                <c:pt idx="9">
                  <c:v>0.97092717997545963</c:v>
                </c:pt>
                <c:pt idx="10">
                  <c:v>0.9714318039922013</c:v>
                </c:pt>
                <c:pt idx="11">
                  <c:v>0.97377744380560094</c:v>
                </c:pt>
                <c:pt idx="12">
                  <c:v>0.97106725713245268</c:v>
                </c:pt>
                <c:pt idx="13">
                  <c:v>0.96752033195668774</c:v>
                </c:pt>
                <c:pt idx="14">
                  <c:v>0.97263465010570671</c:v>
                </c:pt>
                <c:pt idx="15">
                  <c:v>0.97461683818339784</c:v>
                </c:pt>
                <c:pt idx="16">
                  <c:v>0.95233839933891995</c:v>
                </c:pt>
                <c:pt idx="17">
                  <c:v>0.95519233282155447</c:v>
                </c:pt>
                <c:pt idx="18">
                  <c:v>0.97382838654667581</c:v>
                </c:pt>
                <c:pt idx="19">
                  <c:v>0.98008138560229119</c:v>
                </c:pt>
                <c:pt idx="20">
                  <c:v>0.96055563065847915</c:v>
                </c:pt>
                <c:pt idx="21">
                  <c:v>0.98327430698643981</c:v>
                </c:pt>
                <c:pt idx="22">
                  <c:v>0.97999182570059118</c:v>
                </c:pt>
                <c:pt idx="23">
                  <c:v>0.97873513835960124</c:v>
                </c:pt>
                <c:pt idx="24">
                  <c:v>0.98097260868171632</c:v>
                </c:pt>
                <c:pt idx="25">
                  <c:v>0.97591584992350466</c:v>
                </c:pt>
                <c:pt idx="26">
                  <c:v>0.97973817344414504</c:v>
                </c:pt>
                <c:pt idx="27">
                  <c:v>0.97862422623037337</c:v>
                </c:pt>
                <c:pt idx="28">
                  <c:v>0.97661468099448112</c:v>
                </c:pt>
                <c:pt idx="29">
                  <c:v>0.9741436213048944</c:v>
                </c:pt>
                <c:pt idx="30">
                  <c:v>0.97271624150356217</c:v>
                </c:pt>
                <c:pt idx="31">
                  <c:v>0.97641735428277399</c:v>
                </c:pt>
                <c:pt idx="32">
                  <c:v>0.98112968573748027</c:v>
                </c:pt>
                <c:pt idx="33">
                  <c:v>0.98039256815732434</c:v>
                </c:pt>
                <c:pt idx="34">
                  <c:v>0.94102020113105145</c:v>
                </c:pt>
                <c:pt idx="35">
                  <c:v>0.97768026878408165</c:v>
                </c:pt>
                <c:pt idx="36">
                  <c:v>0.97581475495135528</c:v>
                </c:pt>
                <c:pt idx="37">
                  <c:v>0.98000815685487097</c:v>
                </c:pt>
                <c:pt idx="38">
                  <c:v>0.96371268187584214</c:v>
                </c:pt>
                <c:pt idx="39">
                  <c:v>0.9598816512120838</c:v>
                </c:pt>
                <c:pt idx="40">
                  <c:v>0.96442438556796339</c:v>
                </c:pt>
                <c:pt idx="41">
                  <c:v>0.95904338429017577</c:v>
                </c:pt>
                <c:pt idx="42">
                  <c:v>0.96514657484800148</c:v>
                </c:pt>
                <c:pt idx="43">
                  <c:v>0.95924828412343544</c:v>
                </c:pt>
                <c:pt idx="44">
                  <c:v>0.95573356114901031</c:v>
                </c:pt>
                <c:pt idx="45">
                  <c:v>0.95399335931454377</c:v>
                </c:pt>
                <c:pt idx="46">
                  <c:v>0.96109700941625986</c:v>
                </c:pt>
                <c:pt idx="47">
                  <c:v>0.95028134252900798</c:v>
                </c:pt>
                <c:pt idx="48">
                  <c:v>0.95424274278103927</c:v>
                </c:pt>
                <c:pt idx="49">
                  <c:v>0.94133502412057479</c:v>
                </c:pt>
                <c:pt idx="50">
                  <c:v>0.95338986776318979</c:v>
                </c:pt>
                <c:pt idx="51">
                  <c:v>0.96501717357183037</c:v>
                </c:pt>
                <c:pt idx="52">
                  <c:v>0.95864087830459188</c:v>
                </c:pt>
                <c:pt idx="53">
                  <c:v>0.96367594473299056</c:v>
                </c:pt>
                <c:pt idx="54">
                  <c:v>0.96035933342925994</c:v>
                </c:pt>
                <c:pt idx="55">
                  <c:v>0.96149761525472011</c:v>
                </c:pt>
                <c:pt idx="56">
                  <c:v>0.95785720547616937</c:v>
                </c:pt>
                <c:pt idx="57">
                  <c:v>0.95852668213457082</c:v>
                </c:pt>
                <c:pt idx="58">
                  <c:v>0.95570725584143557</c:v>
                </c:pt>
                <c:pt idx="59">
                  <c:v>0.95925557009160933</c:v>
                </c:pt>
                <c:pt idx="60">
                  <c:v>0.95127808894091148</c:v>
                </c:pt>
                <c:pt idx="61">
                  <c:v>0.95748877906055785</c:v>
                </c:pt>
                <c:pt idx="62">
                  <c:v>0.96644231497759225</c:v>
                </c:pt>
                <c:pt idx="63">
                  <c:v>0.96861306499684841</c:v>
                </c:pt>
                <c:pt idx="64">
                  <c:v>0.96744693993700004</c:v>
                </c:pt>
                <c:pt idx="65">
                  <c:v>0.95220593882491411</c:v>
                </c:pt>
                <c:pt idx="66">
                  <c:v>0.9544507766235365</c:v>
                </c:pt>
                <c:pt idx="67">
                  <c:v>0.95012797934068238</c:v>
                </c:pt>
                <c:pt idx="68">
                  <c:v>0.97091534074915753</c:v>
                </c:pt>
                <c:pt idx="69">
                  <c:v>0.96911162624971736</c:v>
                </c:pt>
                <c:pt idx="70">
                  <c:v>0.95642746301359138</c:v>
                </c:pt>
                <c:pt idx="71">
                  <c:v>0.96103432190922944</c:v>
                </c:pt>
                <c:pt idx="72">
                  <c:v>0.96009137474844553</c:v>
                </c:pt>
                <c:pt idx="73">
                  <c:v>0.97097573789653058</c:v>
                </c:pt>
                <c:pt idx="74">
                  <c:v>0.97281177171023814</c:v>
                </c:pt>
                <c:pt idx="75">
                  <c:v>0.96785170992498948</c:v>
                </c:pt>
                <c:pt idx="76">
                  <c:v>0.97103670213760607</c:v>
                </c:pt>
                <c:pt idx="77">
                  <c:v>0.97105560893673837</c:v>
                </c:pt>
                <c:pt idx="78">
                  <c:v>0.96811109937827577</c:v>
                </c:pt>
                <c:pt idx="79">
                  <c:v>0.97587049063828046</c:v>
                </c:pt>
                <c:pt idx="80">
                  <c:v>0.97226175179644558</c:v>
                </c:pt>
                <c:pt idx="81">
                  <c:v>0.97193766475158994</c:v>
                </c:pt>
                <c:pt idx="82">
                  <c:v>0.97075284248060478</c:v>
                </c:pt>
                <c:pt idx="83">
                  <c:v>0.95288020004539176</c:v>
                </c:pt>
                <c:pt idx="84">
                  <c:v>0.96763366678703977</c:v>
                </c:pt>
                <c:pt idx="85">
                  <c:v>0.96511891889663792</c:v>
                </c:pt>
                <c:pt idx="86">
                  <c:v>0.96421614689844493</c:v>
                </c:pt>
                <c:pt idx="87">
                  <c:v>0.9725182765614192</c:v>
                </c:pt>
                <c:pt idx="88">
                  <c:v>0.97551656265734799</c:v>
                </c:pt>
                <c:pt idx="89">
                  <c:v>0.96206156386348463</c:v>
                </c:pt>
                <c:pt idx="90">
                  <c:v>0.96279945970943859</c:v>
                </c:pt>
                <c:pt idx="91">
                  <c:v>0.9557772932837556</c:v>
                </c:pt>
                <c:pt idx="92">
                  <c:v>0.95536942069623609</c:v>
                </c:pt>
                <c:pt idx="93">
                  <c:v>0.95131147729035492</c:v>
                </c:pt>
                <c:pt idx="94">
                  <c:v>0.9344846710455591</c:v>
                </c:pt>
                <c:pt idx="95">
                  <c:v>0.93712036447943659</c:v>
                </c:pt>
                <c:pt idx="96">
                  <c:v>0.93216790167782693</c:v>
                </c:pt>
                <c:pt idx="97">
                  <c:v>0.93709640847207698</c:v>
                </c:pt>
                <c:pt idx="98">
                  <c:v>0.94561688659420695</c:v>
                </c:pt>
                <c:pt idx="99">
                  <c:v>0.94966455668645366</c:v>
                </c:pt>
                <c:pt idx="100">
                  <c:v>0.94881194849101447</c:v>
                </c:pt>
                <c:pt idx="101">
                  <c:v>0.94095297527184252</c:v>
                </c:pt>
                <c:pt idx="102">
                  <c:v>0.95039268354644879</c:v>
                </c:pt>
                <c:pt idx="103">
                  <c:v>0.95300007343438098</c:v>
                </c:pt>
                <c:pt idx="104">
                  <c:v>0.95731279987344187</c:v>
                </c:pt>
                <c:pt idx="105">
                  <c:v>0.95158944412785129</c:v>
                </c:pt>
                <c:pt idx="106">
                  <c:v>0.95375246777806189</c:v>
                </c:pt>
                <c:pt idx="107">
                  <c:v>0.95056277945273693</c:v>
                </c:pt>
                <c:pt idx="108">
                  <c:v>0.95076012364451346</c:v>
                </c:pt>
                <c:pt idx="109">
                  <c:v>0.94866265875287947</c:v>
                </c:pt>
                <c:pt idx="110">
                  <c:v>0.93294532281204356</c:v>
                </c:pt>
                <c:pt idx="111">
                  <c:v>0.92656122792538642</c:v>
                </c:pt>
                <c:pt idx="112">
                  <c:v>0.93308176077768634</c:v>
                </c:pt>
                <c:pt idx="113">
                  <c:v>0.94534674964275245</c:v>
                </c:pt>
                <c:pt idx="114">
                  <c:v>0.94026823934565806</c:v>
                </c:pt>
                <c:pt idx="115">
                  <c:v>0.94014172023700204</c:v>
                </c:pt>
                <c:pt idx="116">
                  <c:v>0.94106354675534631</c:v>
                </c:pt>
                <c:pt idx="117">
                  <c:v>0.93411315690139174</c:v>
                </c:pt>
                <c:pt idx="118">
                  <c:v>0.93799542059101337</c:v>
                </c:pt>
                <c:pt idx="119">
                  <c:v>0.91836428024071293</c:v>
                </c:pt>
                <c:pt idx="120">
                  <c:v>0.9400460014500468</c:v>
                </c:pt>
                <c:pt idx="121">
                  <c:v>0.93753320835356024</c:v>
                </c:pt>
                <c:pt idx="122">
                  <c:v>0.93350394468124775</c:v>
                </c:pt>
                <c:pt idx="123">
                  <c:v>0.93110300795871559</c:v>
                </c:pt>
                <c:pt idx="124">
                  <c:v>0.93128356132401358</c:v>
                </c:pt>
                <c:pt idx="125">
                  <c:v>0.93611604869900755</c:v>
                </c:pt>
                <c:pt idx="126">
                  <c:v>0.92269803521366822</c:v>
                </c:pt>
                <c:pt idx="127">
                  <c:v>0.90882249349197941</c:v>
                </c:pt>
                <c:pt idx="128">
                  <c:v>0.92976609695273305</c:v>
                </c:pt>
                <c:pt idx="129">
                  <c:v>0.93604819152502283</c:v>
                </c:pt>
                <c:pt idx="130">
                  <c:v>0.89799522177209934</c:v>
                </c:pt>
                <c:pt idx="131">
                  <c:v>0.91521095106752481</c:v>
                </c:pt>
                <c:pt idx="132">
                  <c:v>0.91294441297564577</c:v>
                </c:pt>
                <c:pt idx="133">
                  <c:v>0.91820646888550728</c:v>
                </c:pt>
                <c:pt idx="134">
                  <c:v>0.91622219928197013</c:v>
                </c:pt>
                <c:pt idx="135">
                  <c:v>0.9233433903229411</c:v>
                </c:pt>
                <c:pt idx="136">
                  <c:v>0.92369033115516663</c:v>
                </c:pt>
                <c:pt idx="137">
                  <c:v>0.92622254022003248</c:v>
                </c:pt>
                <c:pt idx="138">
                  <c:v>0.92649116113442709</c:v>
                </c:pt>
                <c:pt idx="139">
                  <c:v>0.93571399202335437</c:v>
                </c:pt>
                <c:pt idx="140">
                  <c:v>0.89929750439059764</c:v>
                </c:pt>
                <c:pt idx="141">
                  <c:v>0.92350590390674547</c:v>
                </c:pt>
                <c:pt idx="142">
                  <c:v>0.91313499814363441</c:v>
                </c:pt>
                <c:pt idx="143">
                  <c:v>0.91264193744613986</c:v>
                </c:pt>
                <c:pt idx="144">
                  <c:v>0.92394901040842581</c:v>
                </c:pt>
                <c:pt idx="145">
                  <c:v>0.9395461384874505</c:v>
                </c:pt>
                <c:pt idx="146">
                  <c:v>0.94404992468259097</c:v>
                </c:pt>
                <c:pt idx="147">
                  <c:v>0.94898935297983233</c:v>
                </c:pt>
                <c:pt idx="148">
                  <c:v>0.94218797890138872</c:v>
                </c:pt>
                <c:pt idx="149">
                  <c:v>0.9329706993340936</c:v>
                </c:pt>
                <c:pt idx="150">
                  <c:v>0.93151468744060439</c:v>
                </c:pt>
                <c:pt idx="151">
                  <c:v>0.90316023145418678</c:v>
                </c:pt>
                <c:pt idx="152">
                  <c:v>0.91186984656920622</c:v>
                </c:pt>
                <c:pt idx="153">
                  <c:v>0.89989060401074583</c:v>
                </c:pt>
                <c:pt idx="154">
                  <c:v>0.86041655818987672</c:v>
                </c:pt>
                <c:pt idx="155">
                  <c:v>0.86144430468132094</c:v>
                </c:pt>
                <c:pt idx="156">
                  <c:v>0.85160799577380009</c:v>
                </c:pt>
                <c:pt idx="157">
                  <c:v>0.8470458216490111</c:v>
                </c:pt>
                <c:pt idx="158">
                  <c:v>0.84099006269661492</c:v>
                </c:pt>
                <c:pt idx="159">
                  <c:v>0.84175848768175154</c:v>
                </c:pt>
                <c:pt idx="160">
                  <c:v>0.82413453471610387</c:v>
                </c:pt>
                <c:pt idx="161">
                  <c:v>0.84017602150763926</c:v>
                </c:pt>
              </c:numCache>
            </c:numRef>
          </c:val>
          <c:smooth val="0"/>
          <c:extLst>
            <c:ext xmlns:c16="http://schemas.microsoft.com/office/drawing/2014/chart" uri="{C3380CC4-5D6E-409C-BE32-E72D297353CC}">
              <c16:uniqueId val="{00000002-8BF7-FF42-B7C4-DA9BC88E2CFE}"/>
            </c:ext>
          </c:extLst>
        </c:ser>
        <c:dLbls>
          <c:showLegendKey val="0"/>
          <c:showVal val="0"/>
          <c:showCatName val="0"/>
          <c:showSerName val="0"/>
          <c:showPercent val="0"/>
          <c:showBubbleSize val="0"/>
        </c:dLbls>
        <c:smooth val="0"/>
        <c:axId val="380038832"/>
        <c:axId val="1"/>
      </c:lineChart>
      <c:dateAx>
        <c:axId val="380038832"/>
        <c:scaling>
          <c:orientation val="minMax"/>
        </c:scaling>
        <c:delete val="0"/>
        <c:axPos val="b"/>
        <c:numFmt formatCode="[$-409]mmm\-yy;@" sourceLinked="0"/>
        <c:majorTickMark val="out"/>
        <c:minorTickMark val="none"/>
        <c:tickLblPos val="nextTo"/>
        <c:spPr>
          <a:ln w="3175">
            <a:solidFill>
              <a:srgbClr val="000000"/>
            </a:solidFill>
            <a:prstDash val="solid"/>
          </a:ln>
        </c:spPr>
        <c:txPr>
          <a:bodyPr rot="-42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3"/>
        <c:majorTimeUnit val="months"/>
        <c:minorUnit val="3"/>
        <c:minorTimeUnit val="months"/>
      </c:dateAx>
      <c:valAx>
        <c:axId val="1"/>
        <c:scaling>
          <c:orientation val="minMax"/>
          <c:max val="1"/>
        </c:scaling>
        <c:delete val="0"/>
        <c:axPos val="l"/>
        <c:majorGridlines>
          <c:spPr>
            <a:ln w="3175">
              <a:solidFill>
                <a:schemeClr val="bg1">
                  <a:lumMod val="6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Load (%)</a:t>
                </a:r>
              </a:p>
            </c:rich>
          </c:tx>
          <c:layout>
            <c:manualLayout>
              <c:xMode val="edge"/>
              <c:yMode val="edge"/>
              <c:x val="1.2208657047724751E-2"/>
              <c:y val="0.4942904150074530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80038832"/>
        <c:crosses val="autoZero"/>
        <c:crossBetween val="between"/>
      </c:valAx>
      <c:spPr>
        <a:noFill/>
        <a:ln w="12700">
          <a:solidFill>
            <a:schemeClr val="tx1"/>
          </a:solidFill>
          <a:prstDash val="solid"/>
        </a:ln>
      </c:spPr>
    </c:plotArea>
    <c:legend>
      <c:legendPos val="r"/>
      <c:layout>
        <c:manualLayout>
          <c:xMode val="edge"/>
          <c:yMode val="edge"/>
          <c:x val="0.33629629629629632"/>
          <c:y val="0.9606986899563319"/>
          <c:w val="0.33333333333333331"/>
          <c:h val="2.6200873362445413E-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a:extLst>
            <a:ext uri="{FF2B5EF4-FFF2-40B4-BE49-F238E27FC236}">
              <a16:creationId xmlns:a16="http://schemas.microsoft.com/office/drawing/2014/main" id="{309647F4-5586-0742-9956-9D1C5D18A99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a:extLst>
            <a:ext uri="{FF2B5EF4-FFF2-40B4-BE49-F238E27FC236}">
              <a16:creationId xmlns:a16="http://schemas.microsoft.com/office/drawing/2014/main" id="{0BE112DF-FBC5-6741-9086-C69104E830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a:extLst>
            <a:ext uri="{FF2B5EF4-FFF2-40B4-BE49-F238E27FC236}">
              <a16:creationId xmlns:a16="http://schemas.microsoft.com/office/drawing/2014/main" id="{8E0C9C7D-1DF4-7048-9962-643BDFB1B1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a:extLst>
            <a:ext uri="{FF2B5EF4-FFF2-40B4-BE49-F238E27FC236}">
              <a16:creationId xmlns:a16="http://schemas.microsoft.com/office/drawing/2014/main" id="{5BCC8274-5A72-E24F-9C26-B384C25D10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72500" cy="5816600"/>
    <xdr:graphicFrame macro="">
      <xdr:nvGraphicFramePr>
        <xdr:cNvPr id="2" name="Chart 1">
          <a:extLst>
            <a:ext uri="{FF2B5EF4-FFF2-40B4-BE49-F238E27FC236}">
              <a16:creationId xmlns:a16="http://schemas.microsoft.com/office/drawing/2014/main" id="{5EC30C10-FACF-0045-A5D3-A3914A30D7C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hew.rolnick/Downloads/statsload%2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tthew.rolnick/Downloads/statsload%2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tthew.rolnick/Downloads/statsload%2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atthew.rolnick/AppData/Local/Microsoft/Windows/Temporary%20Internet%20Files/Content.Outlook/W10D0TP4/statsloa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20Files%20and%20Folders/SO%20Migration%20Stats/Migration%20Stats%202017/may2017/statslo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20Files%20and%20Folders/SO%20Migration%20Stats/Migration%20Stats%202017/may2017/EmeraMaine_201701raw.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atthew.rolnick/AppData/Local/Microsoft/Windows/Temporary%20Internet%20Files/Content.Outlook/W10D0TP4/EmeraMaine_201612ra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20Files%20and%20Folders/SO%20Migration%20Stats/Migration%20Stats%202017/may2017/EmeraMaine_201702raw.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20Files%20and%20Folders/SO%20Migration%20Stats/Migration%20Stats%202017/may2017/EmeraMaine_201703ra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2000-Present"/>
    </sheetNames>
    <sheetDataSet>
      <sheetData sheetId="0"/>
      <sheetData sheetId="1">
        <row r="5">
          <cell r="E5">
            <v>67988989</v>
          </cell>
          <cell r="I5">
            <v>188268484</v>
          </cell>
        </row>
        <row r="6">
          <cell r="E6">
            <v>12984565</v>
          </cell>
          <cell r="I6">
            <v>30402661</v>
          </cell>
        </row>
        <row r="7">
          <cell r="E7">
            <v>105743479</v>
          </cell>
          <cell r="I7">
            <v>52624745</v>
          </cell>
        </row>
        <row r="8">
          <cell r="E8">
            <v>228876462</v>
          </cell>
          <cell r="I8">
            <v>4816793</v>
          </cell>
        </row>
        <row r="9">
          <cell r="E9">
            <v>69008</v>
          </cell>
          <cell r="I9">
            <v>662760</v>
          </cell>
        </row>
        <row r="16">
          <cell r="E16">
            <v>62308372</v>
          </cell>
          <cell r="I16">
            <v>258274443</v>
          </cell>
        </row>
        <row r="17">
          <cell r="E17">
            <v>15814784</v>
          </cell>
          <cell r="I17">
            <v>38035723</v>
          </cell>
        </row>
        <row r="19">
          <cell r="E19">
            <v>247224516</v>
          </cell>
          <cell r="I19">
            <v>5717249</v>
          </cell>
        </row>
        <row r="20">
          <cell r="E20">
            <v>52975</v>
          </cell>
          <cell r="I20">
            <v>697389</v>
          </cell>
        </row>
        <row r="27">
          <cell r="E27">
            <v>73902955</v>
          </cell>
          <cell r="I27">
            <v>271837913</v>
          </cell>
        </row>
        <row r="28">
          <cell r="E28">
            <v>40473377</v>
          </cell>
          <cell r="I28">
            <v>16266770</v>
          </cell>
        </row>
        <row r="29">
          <cell r="E29">
            <v>128691304</v>
          </cell>
          <cell r="I29">
            <v>72325136</v>
          </cell>
        </row>
        <row r="30">
          <cell r="E30">
            <v>254015321</v>
          </cell>
          <cell r="I30">
            <v>5923662</v>
          </cell>
        </row>
        <row r="31">
          <cell r="E31">
            <v>71062</v>
          </cell>
          <cell r="I31">
            <v>770924</v>
          </cell>
        </row>
        <row r="38">
          <cell r="E38">
            <v>62308372</v>
          </cell>
          <cell r="I38">
            <v>231589296</v>
          </cell>
        </row>
        <row r="39">
          <cell r="E39">
            <v>14954719</v>
          </cell>
          <cell r="I39">
            <v>36153114</v>
          </cell>
        </row>
        <row r="40">
          <cell r="E40">
            <v>115138004</v>
          </cell>
          <cell r="I40">
            <v>62051933</v>
          </cell>
        </row>
        <row r="41">
          <cell r="E41">
            <v>212764262</v>
          </cell>
          <cell r="I41">
            <v>4681236</v>
          </cell>
        </row>
        <row r="42">
          <cell r="E42">
            <v>52975</v>
          </cell>
          <cell r="I42">
            <v>658088</v>
          </cell>
        </row>
        <row r="49">
          <cell r="E49">
            <v>58411308</v>
          </cell>
          <cell r="I49">
            <v>203901107</v>
          </cell>
        </row>
        <row r="50">
          <cell r="E50">
            <v>13800937</v>
          </cell>
          <cell r="I50">
            <v>32008324</v>
          </cell>
        </row>
        <row r="51">
          <cell r="E51">
            <v>110769318</v>
          </cell>
          <cell r="I51">
            <v>55643046</v>
          </cell>
        </row>
        <row r="52">
          <cell r="E52">
            <v>236804250</v>
          </cell>
          <cell r="I52">
            <v>4536956</v>
          </cell>
        </row>
        <row r="53">
          <cell r="E53">
            <v>68801</v>
          </cell>
          <cell r="I53">
            <v>735103</v>
          </cell>
        </row>
        <row r="62">
          <cell r="E62">
            <v>103759762</v>
          </cell>
          <cell r="I62">
            <v>49884814</v>
          </cell>
        </row>
        <row r="63">
          <cell r="E63">
            <v>220253863</v>
          </cell>
          <cell r="I63">
            <v>8617244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2000-Present"/>
    </sheetNames>
    <sheetDataSet>
      <sheetData sheetId="0" refreshError="1"/>
      <sheetData sheetId="1">
        <row r="5">
          <cell r="E5">
            <v>52487872</v>
          </cell>
          <cell r="I5">
            <v>207558791</v>
          </cell>
        </row>
        <row r="6">
          <cell r="E6">
            <v>12286164</v>
          </cell>
          <cell r="I6">
            <v>28843715</v>
          </cell>
        </row>
        <row r="7">
          <cell r="E7">
            <v>99004446</v>
          </cell>
          <cell r="I7">
            <v>47027779</v>
          </cell>
        </row>
        <row r="8">
          <cell r="E8">
            <v>222174096</v>
          </cell>
          <cell r="I8">
            <v>4280278</v>
          </cell>
        </row>
        <row r="9">
          <cell r="E9">
            <v>86327</v>
          </cell>
          <cell r="I9">
            <v>649476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2000-Present"/>
    </sheetNames>
    <sheetDataSet>
      <sheetData sheetId="0" refreshError="1"/>
      <sheetData sheetId="1">
        <row r="5">
          <cell r="B5">
            <v>555769</v>
          </cell>
          <cell r="C5">
            <v>104429</v>
          </cell>
        </row>
        <row r="6">
          <cell r="B6">
            <v>56618</v>
          </cell>
          <cell r="C6">
            <v>17331</v>
          </cell>
        </row>
        <row r="8">
          <cell r="E8">
            <v>219767815</v>
          </cell>
          <cell r="I8">
            <v>5329840</v>
          </cell>
        </row>
        <row r="9">
          <cell r="B9">
            <v>5513</v>
          </cell>
          <cell r="C9">
            <v>651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2000-Present"/>
    </sheetNames>
    <sheetDataSet>
      <sheetData sheetId="0" refreshError="1"/>
      <sheetData sheetId="1">
        <row r="40">
          <cell r="E40">
            <v>125251579</v>
          </cell>
          <cell r="I40">
            <v>67139141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2000-Present"/>
    </sheetNames>
    <sheetDataSet>
      <sheetData sheetId="0" refreshError="1"/>
      <sheetData sheetId="1">
        <row r="5">
          <cell r="C5">
            <v>96669</v>
          </cell>
          <cell r="E5">
            <v>52257705</v>
          </cell>
          <cell r="G5">
            <v>460928</v>
          </cell>
          <cell r="I5">
            <v>240127986</v>
          </cell>
        </row>
        <row r="6">
          <cell r="C6">
            <v>15709</v>
          </cell>
          <cell r="E6">
            <v>12717668</v>
          </cell>
          <cell r="G6">
            <v>38182</v>
          </cell>
          <cell r="I6">
            <v>33128916</v>
          </cell>
        </row>
        <row r="7">
          <cell r="B7">
            <v>11187</v>
          </cell>
          <cell r="C7">
            <v>5326</v>
          </cell>
          <cell r="E7">
            <v>99046336</v>
          </cell>
          <cell r="I7">
            <v>51287990</v>
          </cell>
        </row>
        <row r="8">
          <cell r="B8">
            <v>385</v>
          </cell>
          <cell r="C8">
            <v>341</v>
          </cell>
          <cell r="E8">
            <v>186550097</v>
          </cell>
          <cell r="I8">
            <v>3913723</v>
          </cell>
        </row>
        <row r="9">
          <cell r="C9">
            <v>557</v>
          </cell>
          <cell r="E9">
            <v>54373</v>
          </cell>
          <cell r="G9">
            <v>4337</v>
          </cell>
          <cell r="I9">
            <v>675868</v>
          </cell>
        </row>
        <row r="16">
          <cell r="C16">
            <v>97438</v>
          </cell>
          <cell r="E16">
            <v>62781634</v>
          </cell>
          <cell r="G16">
            <v>459916</v>
          </cell>
          <cell r="I16">
            <v>290922328</v>
          </cell>
        </row>
        <row r="17">
          <cell r="C17">
            <v>17316</v>
          </cell>
          <cell r="E17">
            <v>14747992</v>
          </cell>
          <cell r="G17">
            <v>42370</v>
          </cell>
          <cell r="I17">
            <v>38982738</v>
          </cell>
        </row>
        <row r="18">
          <cell r="B18">
            <v>12769</v>
          </cell>
          <cell r="C18">
            <v>6119</v>
          </cell>
          <cell r="E18">
            <v>116692311</v>
          </cell>
          <cell r="I18">
            <v>60761257</v>
          </cell>
        </row>
        <row r="19">
          <cell r="B19">
            <v>472</v>
          </cell>
          <cell r="C19">
            <v>419</v>
          </cell>
          <cell r="E19">
            <v>219749352</v>
          </cell>
          <cell r="I19">
            <v>4808398</v>
          </cell>
        </row>
        <row r="20">
          <cell r="C20">
            <v>589</v>
          </cell>
          <cell r="E20">
            <v>88562</v>
          </cell>
          <cell r="G20">
            <v>6081</v>
          </cell>
          <cell r="I20">
            <v>807788</v>
          </cell>
        </row>
        <row r="27">
          <cell r="C27">
            <v>87782</v>
          </cell>
          <cell r="E27">
            <v>54679691</v>
          </cell>
          <cell r="G27">
            <v>469159</v>
          </cell>
          <cell r="I27">
            <v>251895118</v>
          </cell>
        </row>
        <row r="28">
          <cell r="C28">
            <v>14252</v>
          </cell>
          <cell r="E28">
            <v>12637914</v>
          </cell>
          <cell r="G28">
            <v>34641</v>
          </cell>
          <cell r="I28">
            <v>33545001</v>
          </cell>
        </row>
        <row r="29">
          <cell r="B29">
            <v>10319</v>
          </cell>
          <cell r="C29">
            <v>4915</v>
          </cell>
          <cell r="E29">
            <v>95431092</v>
          </cell>
          <cell r="I29">
            <v>49613815</v>
          </cell>
        </row>
        <row r="30">
          <cell r="B30">
            <v>334</v>
          </cell>
          <cell r="C30">
            <v>297</v>
          </cell>
          <cell r="E30">
            <v>168691667</v>
          </cell>
          <cell r="I30">
            <v>4592894</v>
          </cell>
        </row>
        <row r="31">
          <cell r="C31">
            <v>559</v>
          </cell>
          <cell r="E31">
            <v>78297</v>
          </cell>
          <cell r="G31">
            <v>4366</v>
          </cell>
          <cell r="I31">
            <v>617072</v>
          </cell>
        </row>
        <row r="38">
          <cell r="C38">
            <v>101790</v>
          </cell>
          <cell r="E38">
            <v>72227789</v>
          </cell>
          <cell r="G38">
            <v>454564</v>
          </cell>
          <cell r="I38">
            <v>312293642</v>
          </cell>
        </row>
        <row r="39">
          <cell r="C39">
            <v>16901</v>
          </cell>
          <cell r="E39">
            <v>15420216</v>
          </cell>
          <cell r="G39">
            <v>39673</v>
          </cell>
          <cell r="I39">
            <v>39340431</v>
          </cell>
        </row>
        <row r="40">
          <cell r="C40">
            <v>5845</v>
          </cell>
          <cell r="E40">
            <v>115733076</v>
          </cell>
          <cell r="G40">
            <v>6290</v>
          </cell>
          <cell r="I40">
            <v>61400792</v>
          </cell>
        </row>
        <row r="41">
          <cell r="B41">
            <v>418</v>
          </cell>
          <cell r="C41">
            <v>373</v>
          </cell>
          <cell r="E41">
            <v>223203071</v>
          </cell>
          <cell r="I41">
            <v>6433274</v>
          </cell>
        </row>
        <row r="42">
          <cell r="C42">
            <v>631</v>
          </cell>
          <cell r="E42">
            <v>103639</v>
          </cell>
          <cell r="G42">
            <v>4637</v>
          </cell>
          <cell r="I42">
            <v>713802</v>
          </cell>
        </row>
        <row r="49">
          <cell r="E49">
            <v>68449908</v>
          </cell>
          <cell r="I49">
            <v>278636180</v>
          </cell>
        </row>
        <row r="50">
          <cell r="E50">
            <v>15123084</v>
          </cell>
          <cell r="I50">
            <v>36689698</v>
          </cell>
        </row>
        <row r="51">
          <cell r="E51">
            <v>115936851</v>
          </cell>
          <cell r="I51">
            <v>56358946</v>
          </cell>
        </row>
        <row r="52">
          <cell r="E52">
            <v>219767815</v>
          </cell>
        </row>
        <row r="53">
          <cell r="E53">
            <v>104019</v>
          </cell>
          <cell r="I53">
            <v>709349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D"/>
      <sheetName val="MPD"/>
    </sheetNames>
    <sheetDataSet>
      <sheetData sheetId="0">
        <row r="25">
          <cell r="E25">
            <v>1704</v>
          </cell>
          <cell r="G25">
            <v>16536</v>
          </cell>
        </row>
        <row r="26">
          <cell r="F26">
            <v>3053</v>
          </cell>
          <cell r="G26">
            <v>9059</v>
          </cell>
        </row>
        <row r="27">
          <cell r="E27">
            <v>3555</v>
          </cell>
          <cell r="G27">
            <v>3700</v>
          </cell>
        </row>
      </sheetData>
      <sheetData sheetId="1">
        <row r="16">
          <cell r="D16">
            <v>423</v>
          </cell>
          <cell r="E16">
            <v>36970</v>
          </cell>
        </row>
        <row r="17">
          <cell r="D17">
            <v>72</v>
          </cell>
          <cell r="E17">
            <v>189</v>
          </cell>
        </row>
        <row r="18">
          <cell r="D18">
            <v>13</v>
          </cell>
          <cell r="E18">
            <v>14</v>
          </cell>
        </row>
        <row r="27">
          <cell r="C27">
            <v>927</v>
          </cell>
          <cell r="D27">
            <v>30214</v>
          </cell>
        </row>
        <row r="28">
          <cell r="C28">
            <v>3615</v>
          </cell>
          <cell r="D28">
            <v>7211</v>
          </cell>
        </row>
        <row r="29">
          <cell r="C29">
            <v>13305</v>
          </cell>
          <cell r="D29">
            <v>13305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D"/>
      <sheetName val="MPD"/>
    </sheetNames>
    <sheetDataSet>
      <sheetData sheetId="0">
        <row r="25">
          <cell r="E25">
            <v>1720</v>
          </cell>
          <cell r="F25">
            <v>15099</v>
          </cell>
        </row>
        <row r="26">
          <cell r="E26">
            <v>6055</v>
          </cell>
          <cell r="G26">
            <v>9156</v>
          </cell>
        </row>
        <row r="27">
          <cell r="E27">
            <v>3149</v>
          </cell>
          <cell r="G27">
            <v>3283</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D"/>
      <sheetName val="MPD"/>
    </sheetNames>
    <sheetDataSet>
      <sheetData sheetId="0">
        <row r="17">
          <cell r="C17">
            <v>10883</v>
          </cell>
          <cell r="E17">
            <v>124132</v>
          </cell>
        </row>
        <row r="18">
          <cell r="C18">
            <v>836</v>
          </cell>
          <cell r="E18">
            <v>1792</v>
          </cell>
        </row>
        <row r="19">
          <cell r="C19">
            <v>34</v>
          </cell>
          <cell r="E19">
            <v>47</v>
          </cell>
        </row>
        <row r="25">
          <cell r="E25">
            <v>1527</v>
          </cell>
          <cell r="G25">
            <v>15406</v>
          </cell>
        </row>
        <row r="26">
          <cell r="E26">
            <v>5546</v>
          </cell>
          <cell r="G26">
            <v>8296</v>
          </cell>
        </row>
        <row r="27">
          <cell r="E27">
            <v>3473</v>
          </cell>
          <cell r="G27">
            <v>3617</v>
          </cell>
        </row>
      </sheetData>
      <sheetData sheetId="1">
        <row r="16">
          <cell r="C16">
            <v>423</v>
          </cell>
          <cell r="E16">
            <v>36967</v>
          </cell>
        </row>
        <row r="17">
          <cell r="C17">
            <v>72</v>
          </cell>
          <cell r="E17">
            <v>188</v>
          </cell>
        </row>
        <row r="18">
          <cell r="C18">
            <v>13</v>
          </cell>
          <cell r="E18">
            <v>14</v>
          </cell>
        </row>
        <row r="27">
          <cell r="B27">
            <v>841</v>
          </cell>
          <cell r="D27">
            <v>25803</v>
          </cell>
        </row>
        <row r="28">
          <cell r="B28">
            <v>3525</v>
          </cell>
          <cell r="D28">
            <v>6904</v>
          </cell>
        </row>
        <row r="29">
          <cell r="B29">
            <v>12193</v>
          </cell>
          <cell r="D29">
            <v>12194</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HD"/>
      <sheetName val="MPD"/>
    </sheetNames>
    <sheetDataSet>
      <sheetData sheetId="0">
        <row r="17">
          <cell r="C17">
            <v>11108</v>
          </cell>
          <cell r="E17">
            <v>124207</v>
          </cell>
        </row>
        <row r="18">
          <cell r="C18">
            <v>843</v>
          </cell>
          <cell r="E18">
            <v>1800</v>
          </cell>
        </row>
        <row r="19">
          <cell r="C19">
            <v>32</v>
          </cell>
          <cell r="E19">
            <v>46</v>
          </cell>
        </row>
        <row r="25">
          <cell r="E25">
            <v>1872</v>
          </cell>
          <cell r="G25">
            <v>18512</v>
          </cell>
        </row>
        <row r="26">
          <cell r="E26">
            <v>6504</v>
          </cell>
          <cell r="G26">
            <v>9695</v>
          </cell>
        </row>
        <row r="27">
          <cell r="E27">
            <v>3949</v>
          </cell>
          <cell r="G27">
            <v>4218</v>
          </cell>
        </row>
      </sheetData>
      <sheetData sheetId="1">
        <row r="17">
          <cell r="D17">
            <v>72</v>
          </cell>
          <cell r="E17">
            <v>188</v>
          </cell>
        </row>
        <row r="18">
          <cell r="D18">
            <v>13</v>
          </cell>
          <cell r="E18">
            <v>14</v>
          </cell>
        </row>
        <row r="27">
          <cell r="C27">
            <v>838</v>
          </cell>
          <cell r="D27">
            <v>25919</v>
          </cell>
          <cell r="F27">
            <v>418</v>
          </cell>
          <cell r="G27">
            <v>36962</v>
          </cell>
        </row>
        <row r="28">
          <cell r="C28">
            <v>3336</v>
          </cell>
          <cell r="D28">
            <v>6590</v>
          </cell>
        </row>
        <row r="29">
          <cell r="C29">
            <v>13362</v>
          </cell>
          <cell r="D29">
            <v>13363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6" sqref="A6"/>
    </sheetView>
  </sheetViews>
  <sheetFormatPr baseColWidth="10" defaultRowHeight="13" x14ac:dyDescent="0.15"/>
  <cols>
    <col min="1" max="1" width="8.83203125" customWidth="1"/>
    <col min="2" max="2" width="16.1640625" bestFit="1" customWidth="1"/>
    <col min="3" max="3" width="10" bestFit="1" customWidth="1"/>
    <col min="4" max="4" width="8.5" bestFit="1" customWidth="1"/>
    <col min="5" max="256" width="8.83203125" customWidth="1"/>
  </cols>
  <sheetData>
    <row r="1" spans="1:4" ht="16" x14ac:dyDescent="0.2">
      <c r="A1" s="153" t="s">
        <v>30</v>
      </c>
      <c r="B1" s="119"/>
      <c r="C1" s="119"/>
      <c r="D1" s="149"/>
    </row>
    <row r="2" spans="1:4" x14ac:dyDescent="0.15">
      <c r="A2" s="149" t="s">
        <v>42</v>
      </c>
      <c r="B2" s="155" t="s">
        <v>32</v>
      </c>
      <c r="C2" s="155" t="s">
        <v>20</v>
      </c>
      <c r="D2" s="155" t="s">
        <v>21</v>
      </c>
    </row>
    <row r="3" spans="1:4" x14ac:dyDescent="0.15">
      <c r="A3" s="152" t="s">
        <v>46</v>
      </c>
      <c r="B3" s="154" t="s">
        <v>33</v>
      </c>
      <c r="C3" s="154" t="s">
        <v>38</v>
      </c>
      <c r="D3" s="154" t="s">
        <v>36</v>
      </c>
    </row>
    <row r="4" spans="1:4" x14ac:dyDescent="0.15">
      <c r="A4" s="152" t="s">
        <v>31</v>
      </c>
      <c r="B4" s="154" t="s">
        <v>34</v>
      </c>
      <c r="C4" s="154" t="s">
        <v>39</v>
      </c>
      <c r="D4" s="154" t="s">
        <v>37</v>
      </c>
    </row>
    <row r="5" spans="1:4" x14ac:dyDescent="0.15">
      <c r="A5" s="156" t="s">
        <v>47</v>
      </c>
      <c r="B5" s="154" t="s">
        <v>35</v>
      </c>
      <c r="C5" s="154" t="s">
        <v>40</v>
      </c>
      <c r="D5" s="154" t="s">
        <v>36</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36"/>
  <sheetViews>
    <sheetView tabSelected="1" zoomScale="80" zoomScaleNormal="80" workbookViewId="0">
      <pane xSplit="1" ySplit="5" topLeftCell="B6" activePane="bottomRight" state="frozen"/>
      <selection pane="topRight" activeCell="B1" sqref="B1"/>
      <selection pane="bottomLeft" activeCell="A6" sqref="A6"/>
      <selection pane="bottomRight" activeCell="N8" sqref="N8:Y8"/>
    </sheetView>
  </sheetViews>
  <sheetFormatPr baseColWidth="10" defaultRowHeight="13" x14ac:dyDescent="0.15"/>
  <cols>
    <col min="1" max="1" width="8.33203125" customWidth="1"/>
    <col min="2" max="2" width="11.6640625" bestFit="1" customWidth="1"/>
    <col min="3" max="3" width="15.6640625" bestFit="1" customWidth="1"/>
    <col min="4" max="4" width="13.83203125" bestFit="1" customWidth="1"/>
    <col min="5" max="5" width="11.6640625" bestFit="1" customWidth="1"/>
    <col min="6" max="6" width="15.6640625" bestFit="1" customWidth="1"/>
    <col min="7" max="7" width="11.5" bestFit="1" customWidth="1"/>
    <col min="8" max="8" width="11.6640625" bestFit="1" customWidth="1"/>
    <col min="9" max="9" width="15.6640625" bestFit="1" customWidth="1"/>
    <col min="10" max="10" width="11.5" bestFit="1" customWidth="1"/>
    <col min="11" max="11" width="15.6640625" bestFit="1" customWidth="1"/>
    <col min="12" max="12" width="11.6640625" bestFit="1" customWidth="1"/>
    <col min="13" max="13" width="15.83203125" bestFit="1" customWidth="1"/>
    <col min="14" max="14" width="11.6640625" customWidth="1"/>
    <col min="15" max="15" width="15.6640625" bestFit="1" customWidth="1"/>
    <col min="16" max="16" width="22.5" bestFit="1" customWidth="1"/>
    <col min="17" max="17" width="31.1640625" bestFit="1" customWidth="1"/>
    <col min="18" max="18" width="15.6640625" bestFit="1" customWidth="1"/>
    <col min="19" max="19" width="12.6640625" bestFit="1" customWidth="1"/>
    <col min="20" max="20" width="11.6640625" bestFit="1" customWidth="1"/>
    <col min="21" max="21" width="15.6640625" bestFit="1" customWidth="1"/>
    <col min="22" max="22" width="12.6640625" bestFit="1" customWidth="1"/>
    <col min="23" max="23" width="8.83203125" bestFit="1" customWidth="1"/>
    <col min="24" max="24" width="11.6640625" bestFit="1" customWidth="1"/>
    <col min="25" max="25" width="15.83203125" bestFit="1" customWidth="1"/>
    <col min="26" max="26" width="11.6640625" bestFit="1" customWidth="1"/>
    <col min="27" max="27" width="15.6640625" bestFit="1" customWidth="1"/>
    <col min="28" max="28" width="11.5" bestFit="1" customWidth="1"/>
    <col min="29" max="29" width="11.6640625" bestFit="1" customWidth="1"/>
    <col min="30" max="30" width="15.6640625" bestFit="1" customWidth="1"/>
    <col min="31" max="31" width="11.5" bestFit="1" customWidth="1"/>
    <col min="32" max="32" width="11.6640625" bestFit="1" customWidth="1"/>
    <col min="33" max="33" width="15.6640625" bestFit="1" customWidth="1"/>
    <col min="34" max="34" width="15" bestFit="1" customWidth="1"/>
    <col min="35" max="35" width="15.6640625" bestFit="1" customWidth="1"/>
    <col min="36" max="36" width="11.6640625" bestFit="1" customWidth="1"/>
    <col min="37" max="37" width="15.83203125" bestFit="1" customWidth="1"/>
    <col min="38" max="38" width="9.5" bestFit="1" customWidth="1"/>
    <col min="39" max="39" width="11.6640625" bestFit="1" customWidth="1"/>
    <col min="40" max="40" width="15.83203125" bestFit="1" customWidth="1"/>
    <col min="41" max="41" width="12.5" bestFit="1" customWidth="1"/>
    <col min="42" max="42" width="8.6640625" customWidth="1"/>
    <col min="43" max="43" width="8" customWidth="1"/>
    <col min="44" max="44" width="16.1640625" bestFit="1" customWidth="1"/>
    <col min="45" max="45" width="8.6640625" customWidth="1"/>
    <col min="46" max="46" width="10.5" customWidth="1"/>
    <col min="47" max="256" width="8.83203125" customWidth="1"/>
  </cols>
  <sheetData>
    <row r="1" spans="1:43" ht="16" x14ac:dyDescent="0.2">
      <c r="A1" s="149" t="s">
        <v>11</v>
      </c>
      <c r="C1" s="101"/>
      <c r="D1" s="102"/>
      <c r="E1" s="102"/>
      <c r="F1" s="102"/>
      <c r="G1" s="96"/>
      <c r="H1" s="96"/>
      <c r="I1" s="96"/>
      <c r="J1" s="96"/>
      <c r="K1" s="96"/>
      <c r="L1" s="96"/>
      <c r="M1" s="96"/>
      <c r="N1" s="183"/>
      <c r="O1" s="183"/>
      <c r="P1" s="183"/>
      <c r="Q1" s="183"/>
      <c r="R1" s="183"/>
      <c r="S1" s="183"/>
      <c r="T1" s="96"/>
      <c r="U1" s="96"/>
      <c r="V1" s="96"/>
      <c r="W1" s="96"/>
      <c r="X1" s="96"/>
      <c r="Y1" s="96"/>
      <c r="Z1" s="96"/>
      <c r="AA1" s="96"/>
      <c r="AB1" s="96"/>
      <c r="AC1" s="96"/>
      <c r="AD1" s="96"/>
      <c r="AE1" s="96"/>
      <c r="AF1" s="96"/>
      <c r="AG1" s="96"/>
      <c r="AH1" s="96"/>
      <c r="AI1" s="96"/>
      <c r="AJ1" s="96"/>
      <c r="AK1" s="96"/>
      <c r="AL1" s="96"/>
      <c r="AM1" s="96"/>
    </row>
    <row r="2" spans="1:43" ht="17" thickBot="1" x14ac:dyDescent="0.25">
      <c r="A2" s="149" t="s">
        <v>41</v>
      </c>
      <c r="B2" s="97"/>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row>
    <row r="3" spans="1:43" ht="20" thickTop="1" thickBot="1" x14ac:dyDescent="0.25">
      <c r="A3" s="199" t="s">
        <v>0</v>
      </c>
      <c r="B3" s="215" t="s">
        <v>48</v>
      </c>
      <c r="C3" s="216"/>
      <c r="D3" s="216"/>
      <c r="E3" s="216"/>
      <c r="F3" s="216"/>
      <c r="G3" s="216"/>
      <c r="H3" s="216"/>
      <c r="I3" s="216"/>
      <c r="J3" s="216"/>
      <c r="K3" s="207"/>
      <c r="L3" s="207"/>
      <c r="M3" s="207"/>
      <c r="N3" s="215" t="s">
        <v>12</v>
      </c>
      <c r="O3" s="216"/>
      <c r="P3" s="216"/>
      <c r="Q3" s="216"/>
      <c r="R3" s="216"/>
      <c r="S3" s="216"/>
      <c r="T3" s="216"/>
      <c r="U3" s="216"/>
      <c r="V3" s="216"/>
      <c r="W3" s="207"/>
      <c r="X3" s="207"/>
      <c r="Y3" s="207"/>
      <c r="Z3" s="208" t="s">
        <v>49</v>
      </c>
      <c r="AA3" s="209"/>
      <c r="AB3" s="209"/>
      <c r="AC3" s="209"/>
      <c r="AD3" s="209"/>
      <c r="AE3" s="209"/>
      <c r="AF3" s="209"/>
      <c r="AG3" s="209"/>
      <c r="AH3" s="209"/>
      <c r="AI3" s="210"/>
      <c r="AJ3" s="210"/>
      <c r="AK3" s="211"/>
      <c r="AL3" s="212" t="s">
        <v>2</v>
      </c>
      <c r="AM3" s="213"/>
      <c r="AN3" s="213"/>
      <c r="AO3" s="213"/>
      <c r="AP3" s="213"/>
      <c r="AQ3" s="214"/>
    </row>
    <row r="4" spans="1:43" x14ac:dyDescent="0.15">
      <c r="A4" s="200"/>
      <c r="B4" s="202" t="s">
        <v>5</v>
      </c>
      <c r="C4" s="203"/>
      <c r="D4" s="203"/>
      <c r="E4" s="204" t="s">
        <v>6</v>
      </c>
      <c r="F4" s="203"/>
      <c r="G4" s="205"/>
      <c r="H4" s="203" t="s">
        <v>7</v>
      </c>
      <c r="I4" s="203"/>
      <c r="J4" s="206"/>
      <c r="K4" s="202" t="s">
        <v>50</v>
      </c>
      <c r="L4" s="203"/>
      <c r="M4" s="206"/>
      <c r="N4" s="202" t="s">
        <v>5</v>
      </c>
      <c r="O4" s="203"/>
      <c r="P4" s="203"/>
      <c r="Q4" s="204" t="s">
        <v>6</v>
      </c>
      <c r="R4" s="203"/>
      <c r="S4" s="205"/>
      <c r="T4" s="203" t="s">
        <v>7</v>
      </c>
      <c r="U4" s="203"/>
      <c r="V4" s="206"/>
      <c r="W4" s="202" t="s">
        <v>17</v>
      </c>
      <c r="X4" s="203"/>
      <c r="Y4" s="206"/>
      <c r="Z4" s="202" t="s">
        <v>5</v>
      </c>
      <c r="AA4" s="203"/>
      <c r="AB4" s="203"/>
      <c r="AC4" s="204" t="s">
        <v>6</v>
      </c>
      <c r="AD4" s="203"/>
      <c r="AE4" s="205"/>
      <c r="AF4" s="203" t="s">
        <v>7</v>
      </c>
      <c r="AG4" s="203"/>
      <c r="AH4" s="206"/>
      <c r="AI4" s="202" t="s">
        <v>51</v>
      </c>
      <c r="AJ4" s="207"/>
      <c r="AK4" s="206"/>
      <c r="AL4" s="90"/>
      <c r="AM4" s="15"/>
      <c r="AN4" s="15"/>
      <c r="AO4" s="15"/>
      <c r="AP4" s="15"/>
      <c r="AQ4" s="91"/>
    </row>
    <row r="5" spans="1:43" ht="28" x14ac:dyDescent="0.15">
      <c r="A5" s="201"/>
      <c r="B5" s="157" t="s">
        <v>13</v>
      </c>
      <c r="C5" s="158" t="s">
        <v>45</v>
      </c>
      <c r="D5" s="159" t="s">
        <v>43</v>
      </c>
      <c r="E5" s="158" t="s">
        <v>13</v>
      </c>
      <c r="F5" s="158" t="s">
        <v>45</v>
      </c>
      <c r="G5" s="179" t="s">
        <v>43</v>
      </c>
      <c r="H5" s="158" t="s">
        <v>13</v>
      </c>
      <c r="I5" s="158" t="s">
        <v>45</v>
      </c>
      <c r="J5" s="160" t="s">
        <v>43</v>
      </c>
      <c r="K5" s="157" t="s">
        <v>45</v>
      </c>
      <c r="L5" s="158" t="s">
        <v>13</v>
      </c>
      <c r="M5" s="158" t="s">
        <v>44</v>
      </c>
      <c r="N5" s="157" t="s">
        <v>13</v>
      </c>
      <c r="O5" s="160" t="s">
        <v>53</v>
      </c>
      <c r="P5" s="159" t="s">
        <v>43</v>
      </c>
      <c r="Q5" s="158" t="s">
        <v>13</v>
      </c>
      <c r="R5" s="160" t="s">
        <v>53</v>
      </c>
      <c r="S5" s="159" t="s">
        <v>43</v>
      </c>
      <c r="T5" s="13" t="s">
        <v>13</v>
      </c>
      <c r="U5" s="160" t="s">
        <v>53</v>
      </c>
      <c r="V5" s="160" t="s">
        <v>43</v>
      </c>
      <c r="W5" s="157" t="s">
        <v>16</v>
      </c>
      <c r="X5" s="158" t="s">
        <v>13</v>
      </c>
      <c r="Y5" s="158" t="s">
        <v>44</v>
      </c>
      <c r="Z5" s="157" t="s">
        <v>13</v>
      </c>
      <c r="AA5" s="158" t="s">
        <v>45</v>
      </c>
      <c r="AB5" s="159" t="s">
        <v>43</v>
      </c>
      <c r="AC5" s="158" t="s">
        <v>13</v>
      </c>
      <c r="AD5" s="158" t="s">
        <v>45</v>
      </c>
      <c r="AE5" s="179" t="s">
        <v>43</v>
      </c>
      <c r="AF5" s="13" t="s">
        <v>13</v>
      </c>
      <c r="AG5" s="158" t="s">
        <v>45</v>
      </c>
      <c r="AH5" s="160" t="s">
        <v>43</v>
      </c>
      <c r="AI5" s="157" t="s">
        <v>45</v>
      </c>
      <c r="AJ5" s="158" t="s">
        <v>13</v>
      </c>
      <c r="AK5" s="158" t="s">
        <v>44</v>
      </c>
      <c r="AL5" s="161" t="s">
        <v>18</v>
      </c>
      <c r="AM5" s="158" t="s">
        <v>13</v>
      </c>
      <c r="AN5" s="158" t="s">
        <v>44</v>
      </c>
      <c r="AO5" s="158" t="s">
        <v>19</v>
      </c>
      <c r="AP5" s="158" t="s">
        <v>20</v>
      </c>
      <c r="AQ5" s="162" t="s">
        <v>21</v>
      </c>
    </row>
    <row r="6" spans="1:43" ht="2.25" customHeight="1" x14ac:dyDescent="0.15">
      <c r="A6" s="177"/>
      <c r="B6" s="25"/>
      <c r="C6" s="13"/>
      <c r="D6" s="185"/>
      <c r="E6" s="25"/>
      <c r="F6" s="13"/>
      <c r="G6" s="185"/>
      <c r="H6" s="25"/>
      <c r="I6" s="13"/>
      <c r="J6" s="185"/>
      <c r="K6" s="63"/>
      <c r="L6" s="7"/>
      <c r="M6" s="26"/>
      <c r="N6" s="45"/>
      <c r="O6" s="3"/>
      <c r="P6" s="174"/>
      <c r="Q6" s="39"/>
      <c r="R6" s="3"/>
      <c r="S6" s="3"/>
      <c r="T6" s="39"/>
      <c r="U6" s="3"/>
      <c r="V6" s="3"/>
      <c r="W6" s="63"/>
      <c r="X6" s="7"/>
      <c r="Y6" s="24"/>
      <c r="Z6" s="25"/>
      <c r="AA6" s="3"/>
      <c r="AB6" s="3"/>
      <c r="AC6" s="39"/>
      <c r="AD6" s="3"/>
      <c r="AE6" s="3"/>
      <c r="AF6" s="39"/>
      <c r="AG6" s="3"/>
      <c r="AH6" s="3"/>
      <c r="AI6" s="63"/>
      <c r="AJ6" s="7"/>
      <c r="AK6" s="26"/>
      <c r="AL6" s="93"/>
      <c r="AM6" s="7"/>
      <c r="AN6" s="3"/>
      <c r="AO6" s="7"/>
      <c r="AP6" s="7"/>
      <c r="AQ6" s="94"/>
    </row>
    <row r="7" spans="1:43" ht="16.5" customHeight="1" x14ac:dyDescent="0.15">
      <c r="A7" s="177"/>
      <c r="B7" s="25"/>
      <c r="C7" s="51"/>
      <c r="D7" s="173"/>
      <c r="E7" s="25"/>
      <c r="F7" s="51"/>
      <c r="G7" s="173"/>
      <c r="H7" s="25"/>
      <c r="I7" s="51"/>
      <c r="J7" s="173"/>
      <c r="K7" s="63"/>
      <c r="L7" s="7"/>
      <c r="M7" s="26"/>
      <c r="N7" s="45"/>
      <c r="O7" s="3"/>
      <c r="P7" s="174"/>
      <c r="Q7" s="39"/>
      <c r="R7" s="3"/>
      <c r="S7" s="3"/>
      <c r="T7" s="39"/>
      <c r="U7" s="3"/>
      <c r="V7" s="3"/>
      <c r="W7" s="63"/>
      <c r="X7" s="7"/>
      <c r="Y7" s="24"/>
      <c r="Z7" s="25"/>
      <c r="AA7" s="3"/>
      <c r="AB7" s="3"/>
      <c r="AC7" s="39"/>
      <c r="AD7" s="3"/>
      <c r="AE7" s="3"/>
      <c r="AF7" s="39"/>
      <c r="AG7" s="3"/>
      <c r="AH7" s="3"/>
      <c r="AI7" s="63"/>
      <c r="AJ7" s="7"/>
      <c r="AK7" s="26"/>
      <c r="AL7" s="93"/>
      <c r="AM7" s="7"/>
      <c r="AN7" s="3"/>
      <c r="AO7" s="7"/>
      <c r="AP7" s="7"/>
      <c r="AQ7" s="94"/>
    </row>
    <row r="8" spans="1:43" ht="16.5" customHeight="1" x14ac:dyDescent="0.15">
      <c r="A8" s="177">
        <v>43586</v>
      </c>
      <c r="B8" s="25"/>
      <c r="C8" s="51"/>
      <c r="D8" s="173"/>
      <c r="E8" s="25"/>
      <c r="F8" s="51"/>
      <c r="G8" s="173"/>
      <c r="H8" s="25"/>
      <c r="I8" s="51"/>
      <c r="J8" s="173"/>
      <c r="K8" s="63"/>
      <c r="L8" s="7"/>
      <c r="M8" s="26"/>
      <c r="N8" s="45">
        <v>0.16053418198470373</v>
      </c>
      <c r="O8" s="3">
        <v>1756.3552580645162</v>
      </c>
      <c r="P8" s="174">
        <v>10940.69335483871</v>
      </c>
      <c r="Q8" s="39">
        <v>0.61747702397491611</v>
      </c>
      <c r="R8" s="3">
        <v>3133.2965483870967</v>
      </c>
      <c r="S8" s="3">
        <v>5074.353258064516</v>
      </c>
      <c r="T8" s="39">
        <v>0.97662332415179109</v>
      </c>
      <c r="U8" s="3">
        <v>7761.5439677419354</v>
      </c>
      <c r="V8" s="3">
        <v>7947.3260322580645</v>
      </c>
      <c r="W8" s="63">
        <v>12651.195774193548</v>
      </c>
      <c r="X8" s="7">
        <v>0.52796089775977162</v>
      </c>
      <c r="Y8" s="24">
        <v>23962.372645161289</v>
      </c>
      <c r="Z8" s="25"/>
      <c r="AA8" s="3"/>
      <c r="AB8" s="3"/>
      <c r="AC8" s="39"/>
      <c r="AD8" s="3"/>
      <c r="AE8" s="3"/>
      <c r="AF8" s="39"/>
      <c r="AG8" s="3"/>
      <c r="AH8" s="3"/>
      <c r="AI8" s="63"/>
      <c r="AJ8" s="7"/>
      <c r="AK8" s="26"/>
      <c r="AL8" s="93">
        <f>+AI8+W8+K8</f>
        <v>12651.195774193548</v>
      </c>
      <c r="AM8" s="7">
        <f>AL8/AN8</f>
        <v>0.52796089775977162</v>
      </c>
      <c r="AN8" s="3">
        <f>+AK8+Y8+M8</f>
        <v>23962.372645161289</v>
      </c>
      <c r="AO8" s="7">
        <f>(+AA8+O8+C8)/(D8+P8+AB8)</f>
        <v>0.16053418198470373</v>
      </c>
      <c r="AP8" s="7">
        <f>(+AD8+R8+F8)/(G8+S8+AE8)</f>
        <v>0.61747702397491611</v>
      </c>
      <c r="AQ8" s="94">
        <f>(AG8+U8+I8)/(AH8+V8+J8)</f>
        <v>0.97662332415179109</v>
      </c>
    </row>
    <row r="9" spans="1:43" ht="16.5" customHeight="1" x14ac:dyDescent="0.15">
      <c r="A9" s="177">
        <v>43556</v>
      </c>
      <c r="B9" s="25">
        <v>0.10840089460962039</v>
      </c>
      <c r="C9" s="51">
        <v>231.31415332771419</v>
      </c>
      <c r="D9" s="173">
        <v>2133.876792813714</v>
      </c>
      <c r="E9" s="25">
        <v>0.64260106384325866</v>
      </c>
      <c r="F9" s="51">
        <v>753.06520559614296</v>
      </c>
      <c r="G9" s="173">
        <v>1171.9015855532857</v>
      </c>
      <c r="H9" s="25">
        <v>0.87854970085981932</v>
      </c>
      <c r="I9" s="51">
        <v>478.56740291514291</v>
      </c>
      <c r="J9" s="173">
        <v>544.72433653642861</v>
      </c>
      <c r="K9" s="63">
        <v>1462.9467618389999</v>
      </c>
      <c r="L9" s="7">
        <v>0.37993656157588007</v>
      </c>
      <c r="M9" s="26">
        <v>3850.5027149034286</v>
      </c>
      <c r="N9" s="45">
        <v>0.15502809369580595</v>
      </c>
      <c r="O9" s="3">
        <v>1764.8740333333335</v>
      </c>
      <c r="P9" s="174">
        <v>11384.2207</v>
      </c>
      <c r="Q9" s="39">
        <v>0.61343334255244697</v>
      </c>
      <c r="R9" s="3">
        <v>3170.9672</v>
      </c>
      <c r="S9" s="3">
        <v>5169.2123333333329</v>
      </c>
      <c r="T9" s="39">
        <v>0.97369795580274487</v>
      </c>
      <c r="U9" s="3">
        <v>5618.2571333333335</v>
      </c>
      <c r="V9" s="3">
        <v>5770.0204666666668</v>
      </c>
      <c r="W9" s="63">
        <v>10554.098366666667</v>
      </c>
      <c r="X9" s="7">
        <v>0.47278071767285773</v>
      </c>
      <c r="Y9" s="24">
        <v>22323.4535</v>
      </c>
      <c r="Z9" s="25">
        <v>3.57129363948641E-2</v>
      </c>
      <c r="AA9" s="3">
        <v>29.208633333333335</v>
      </c>
      <c r="AB9" s="3">
        <v>817.87263333333317</v>
      </c>
      <c r="AC9" s="39">
        <v>0.53105795978821169</v>
      </c>
      <c r="AD9" s="3">
        <v>114.88003333333333</v>
      </c>
      <c r="AE9" s="3">
        <v>216.32296666666667</v>
      </c>
      <c r="AF9" s="39">
        <v>0.98549297207258646</v>
      </c>
      <c r="AG9" s="3">
        <v>424.04353333333336</v>
      </c>
      <c r="AH9" s="3">
        <v>430.28570000000002</v>
      </c>
      <c r="AI9" s="63">
        <v>568.13220000000001</v>
      </c>
      <c r="AJ9" s="7">
        <v>0.38794090440075951</v>
      </c>
      <c r="AK9" s="26">
        <v>1464.4812999999999</v>
      </c>
      <c r="AL9" s="93">
        <f t="shared" ref="AL9:AL14" si="0">+AI9+W9+K9</f>
        <v>12585.177328505666</v>
      </c>
      <c r="AM9" s="7">
        <f t="shared" ref="AM9:AM14" si="1">AL9/AN9</f>
        <v>0.45535053570663619</v>
      </c>
      <c r="AN9" s="3">
        <f t="shared" ref="AN9:AN14" si="2">+AK9+Y9+M9</f>
        <v>27638.437514903428</v>
      </c>
      <c r="AO9" s="7">
        <f t="shared" ref="AO9:AO14" si="3">(+AA9+O9+C9)/(D9+P9+AB9)</f>
        <v>0.14128076455044408</v>
      </c>
      <c r="AP9" s="7">
        <f t="shared" ref="AP9:AP14" si="4">(+AD9+R9+F9)/(G9+S9+AE9)</f>
        <v>0.61592852656006813</v>
      </c>
      <c r="AQ9" s="94">
        <f t="shared" ref="AQ9:AQ14" si="5">(AG9+U9+I9)/(AH9+V9+J9)</f>
        <v>0.96676628318955193</v>
      </c>
    </row>
    <row r="10" spans="1:43" ht="16.5" customHeight="1" x14ac:dyDescent="0.15">
      <c r="A10" s="177">
        <v>43525</v>
      </c>
      <c r="B10" s="25">
        <v>0.108</v>
      </c>
      <c r="C10" s="51">
        <v>240</v>
      </c>
      <c r="D10" s="173">
        <v>2234</v>
      </c>
      <c r="E10" s="25">
        <v>0.64200000000000002</v>
      </c>
      <c r="F10" s="51">
        <v>724</v>
      </c>
      <c r="G10" s="173">
        <v>1128</v>
      </c>
      <c r="H10" s="25">
        <v>0.78</v>
      </c>
      <c r="I10" s="51">
        <v>462</v>
      </c>
      <c r="J10" s="173">
        <v>593</v>
      </c>
      <c r="K10" s="63">
        <v>1427</v>
      </c>
      <c r="L10" s="7">
        <v>0.36099999999999999</v>
      </c>
      <c r="M10" s="26">
        <v>3954</v>
      </c>
      <c r="N10" s="45">
        <v>0.15206976037587552</v>
      </c>
      <c r="O10" s="3">
        <v>2013.5650322580645</v>
      </c>
      <c r="P10" s="174">
        <v>13241.061387096775</v>
      </c>
      <c r="Q10" s="39">
        <v>0.60671569013121751</v>
      </c>
      <c r="R10" s="3">
        <v>3408.7276129032257</v>
      </c>
      <c r="S10" s="3">
        <v>5618.3277741935481</v>
      </c>
      <c r="T10" s="39">
        <v>0.9740873416422654</v>
      </c>
      <c r="U10" s="3">
        <v>8062.9850322580651</v>
      </c>
      <c r="V10" s="3">
        <v>8277.4764516129035</v>
      </c>
      <c r="W10" s="63">
        <v>13485.277677419355</v>
      </c>
      <c r="X10" s="7">
        <v>0.49693571357066679</v>
      </c>
      <c r="Y10" s="24">
        <v>27136.865612903228</v>
      </c>
      <c r="Z10" s="25">
        <v>3.4000000000000002E-2</v>
      </c>
      <c r="AA10" s="3">
        <v>28</v>
      </c>
      <c r="AB10" s="3">
        <v>827</v>
      </c>
      <c r="AC10" s="39">
        <v>0.53500000000000003</v>
      </c>
      <c r="AD10" s="3">
        <v>108</v>
      </c>
      <c r="AE10" s="3">
        <v>201</v>
      </c>
      <c r="AF10" s="39">
        <v>0.98399999999999999</v>
      </c>
      <c r="AG10" s="3">
        <v>417</v>
      </c>
      <c r="AH10" s="3">
        <v>423</v>
      </c>
      <c r="AI10" s="63">
        <v>552</v>
      </c>
      <c r="AJ10" s="7">
        <v>0.38100000000000001</v>
      </c>
      <c r="AK10" s="26">
        <v>1451</v>
      </c>
      <c r="AL10" s="93">
        <f t="shared" si="0"/>
        <v>15464.277677419355</v>
      </c>
      <c r="AM10" s="7">
        <f t="shared" si="1"/>
        <v>0.47521177370014056</v>
      </c>
      <c r="AN10" s="3">
        <f t="shared" si="2"/>
        <v>32541.865612903228</v>
      </c>
      <c r="AO10" s="7">
        <f t="shared" si="3"/>
        <v>0.13995561531034004</v>
      </c>
      <c r="AP10" s="7">
        <f t="shared" si="4"/>
        <v>0.61041133378732693</v>
      </c>
      <c r="AQ10" s="94">
        <f t="shared" si="5"/>
        <v>0.96217869371220743</v>
      </c>
    </row>
    <row r="11" spans="1:43" ht="16.5" customHeight="1" x14ac:dyDescent="0.15">
      <c r="A11" s="177">
        <v>43497</v>
      </c>
      <c r="B11" s="25">
        <v>0.10627618248758666</v>
      </c>
      <c r="C11" s="51">
        <v>279.76759769871416</v>
      </c>
      <c r="D11" s="173">
        <v>2632.4581025611428</v>
      </c>
      <c r="E11" s="25">
        <v>0.63436656825467985</v>
      </c>
      <c r="F11" s="51">
        <v>859.92466482985708</v>
      </c>
      <c r="G11" s="173">
        <v>1355.5642870584286</v>
      </c>
      <c r="H11" s="25">
        <v>0.78458593747186434</v>
      </c>
      <c r="I11" s="51">
        <v>478.53931631157144</v>
      </c>
      <c r="J11" s="173">
        <v>609.92594113214284</v>
      </c>
      <c r="K11" s="63">
        <v>1618.2315788401427</v>
      </c>
      <c r="L11" s="7">
        <v>0.35194644707448886</v>
      </c>
      <c r="M11" s="26">
        <v>4597.9483307517148</v>
      </c>
      <c r="N11" s="45">
        <v>0.15141363409497891</v>
      </c>
      <c r="O11" s="3">
        <v>2330.1456428571428</v>
      </c>
      <c r="P11" s="174">
        <v>15389.272285714287</v>
      </c>
      <c r="Q11" s="39">
        <v>0.57840474239625761</v>
      </c>
      <c r="R11" s="3">
        <v>3255.6758214285715</v>
      </c>
      <c r="S11" s="3">
        <v>5628.7156428571434</v>
      </c>
      <c r="T11" s="39">
        <v>0.95493986370896844</v>
      </c>
      <c r="U11" s="3">
        <v>4510.5135</v>
      </c>
      <c r="V11" s="3">
        <v>4723.3482142857147</v>
      </c>
      <c r="W11" s="63">
        <v>10096.334964285714</v>
      </c>
      <c r="X11" s="7">
        <v>0.39222264564099962</v>
      </c>
      <c r="Y11" s="24">
        <v>25741.336142857144</v>
      </c>
      <c r="Z11" s="25">
        <v>3.1667989771213018E-2</v>
      </c>
      <c r="AA11" s="3">
        <v>34.327642857142855</v>
      </c>
      <c r="AB11" s="3">
        <v>1083.9855357142856</v>
      </c>
      <c r="AC11" s="39">
        <v>0.51486384733311852</v>
      </c>
      <c r="AD11" s="3">
        <v>122.10253571428572</v>
      </c>
      <c r="AE11" s="3">
        <v>237.155</v>
      </c>
      <c r="AF11" s="39">
        <v>0.98229519532829257</v>
      </c>
      <c r="AG11" s="3">
        <v>447.05882142857143</v>
      </c>
      <c r="AH11" s="3">
        <v>455.11657142857149</v>
      </c>
      <c r="AI11" s="63">
        <v>603.48900000000003</v>
      </c>
      <c r="AJ11" s="7">
        <v>0.33975317963440749</v>
      </c>
      <c r="AK11" s="26">
        <v>1776.257107142857</v>
      </c>
      <c r="AL11" s="93">
        <f t="shared" si="0"/>
        <v>12318.055543125856</v>
      </c>
      <c r="AM11" s="7">
        <f t="shared" si="1"/>
        <v>0.38355434586563592</v>
      </c>
      <c r="AN11" s="3">
        <f t="shared" si="2"/>
        <v>32115.541580751717</v>
      </c>
      <c r="AO11" s="7">
        <f t="shared" si="3"/>
        <v>0.13840051291105041</v>
      </c>
      <c r="AP11" s="7">
        <f t="shared" si="4"/>
        <v>0.58682284935055951</v>
      </c>
      <c r="AQ11" s="94">
        <f t="shared" si="5"/>
        <v>0.93914040953171607</v>
      </c>
    </row>
    <row r="12" spans="1:43" ht="16.5" customHeight="1" x14ac:dyDescent="0.15">
      <c r="A12" s="177">
        <v>43466</v>
      </c>
      <c r="B12" s="25">
        <v>0.10743702734558154</v>
      </c>
      <c r="C12" s="51">
        <v>282.35460882171435</v>
      </c>
      <c r="D12" s="173">
        <v>2628.094017470286</v>
      </c>
      <c r="E12" s="25">
        <v>0.64459981501961361</v>
      </c>
      <c r="F12" s="51">
        <v>853.81435042400028</v>
      </c>
      <c r="G12" s="173">
        <v>1324.564994481143</v>
      </c>
      <c r="H12" s="25">
        <v>0.82348743362216925</v>
      </c>
      <c r="I12" s="51">
        <v>459.00565804742854</v>
      </c>
      <c r="J12" s="173">
        <v>557.39242556314287</v>
      </c>
      <c r="K12" s="63">
        <v>1595.1746172931432</v>
      </c>
      <c r="L12" s="7">
        <v>0.3536932204418986</v>
      </c>
      <c r="M12" s="26">
        <v>4510.0514375145722</v>
      </c>
      <c r="N12" s="45">
        <v>0.15659275408497858</v>
      </c>
      <c r="O12" s="3">
        <v>2227.354870967742</v>
      </c>
      <c r="P12" s="174">
        <v>14223.869322580646</v>
      </c>
      <c r="Q12" s="39">
        <v>0.61502678603362537</v>
      </c>
      <c r="R12" s="3">
        <v>3596.7014838709679</v>
      </c>
      <c r="S12" s="3">
        <v>5848.0403870967748</v>
      </c>
      <c r="T12" s="39">
        <v>0.97819580112486415</v>
      </c>
      <c r="U12" s="3">
        <v>8730.5209354838717</v>
      </c>
      <c r="V12" s="3">
        <v>8925.1261612903236</v>
      </c>
      <c r="W12" s="63">
        <v>14554.577290322581</v>
      </c>
      <c r="X12" s="7">
        <v>0.50193327880436345</v>
      </c>
      <c r="Y12" s="24">
        <v>28997.035870967746</v>
      </c>
      <c r="Z12" s="25">
        <v>2.8879304890679421E-2</v>
      </c>
      <c r="AA12" s="3">
        <v>27.682032258064517</v>
      </c>
      <c r="AB12" s="3">
        <v>958.5421935483871</v>
      </c>
      <c r="AC12" s="39">
        <v>0.5198350538783757</v>
      </c>
      <c r="AD12" s="3">
        <v>114.46003225806452</v>
      </c>
      <c r="AE12" s="3">
        <v>220.18529032258067</v>
      </c>
      <c r="AF12" s="39">
        <v>0.98133279578132582</v>
      </c>
      <c r="AG12" s="3">
        <v>418.66148387096774</v>
      </c>
      <c r="AH12" s="3">
        <v>426.62538709677415</v>
      </c>
      <c r="AI12" s="63">
        <v>560.80354838709673</v>
      </c>
      <c r="AJ12" s="7">
        <v>0.34933350699963683</v>
      </c>
      <c r="AK12" s="26">
        <v>1605.3528709677419</v>
      </c>
      <c r="AL12" s="93">
        <f t="shared" si="0"/>
        <v>16710.555456002821</v>
      </c>
      <c r="AM12" s="7">
        <f t="shared" si="1"/>
        <v>0.47591552653702651</v>
      </c>
      <c r="AN12" s="3">
        <f t="shared" si="2"/>
        <v>35112.440179450059</v>
      </c>
      <c r="AO12" s="7">
        <f t="shared" si="3"/>
        <v>0.14246600172357607</v>
      </c>
      <c r="AP12" s="7">
        <f t="shared" si="4"/>
        <v>0.6174902102806995</v>
      </c>
      <c r="AQ12" s="94">
        <f t="shared" si="5"/>
        <v>0.96962846666279723</v>
      </c>
    </row>
    <row r="13" spans="1:43" ht="16.5" customHeight="1" x14ac:dyDescent="0.15">
      <c r="A13" s="177">
        <v>43435</v>
      </c>
      <c r="B13" s="25">
        <v>0.10699825456817628</v>
      </c>
      <c r="C13" s="51">
        <v>280.05711416085694</v>
      </c>
      <c r="D13" s="173">
        <v>2617.3989032915711</v>
      </c>
      <c r="E13" s="25">
        <v>0.61601304838767168</v>
      </c>
      <c r="F13" s="51">
        <v>817.53132342171432</v>
      </c>
      <c r="G13" s="173">
        <v>1327.133127393143</v>
      </c>
      <c r="H13" s="25">
        <v>0.79717093012285667</v>
      </c>
      <c r="I13" s="51">
        <v>417.8419070468571</v>
      </c>
      <c r="J13" s="173">
        <v>524.1559761624286</v>
      </c>
      <c r="K13" s="63">
        <v>1515.4303446294284</v>
      </c>
      <c r="L13" s="7">
        <v>0.33912198441856128</v>
      </c>
      <c r="M13" s="26">
        <v>4468.6880068471428</v>
      </c>
      <c r="N13" s="45">
        <v>0.15770952336952074</v>
      </c>
      <c r="O13" s="3">
        <v>2118.4153870967743</v>
      </c>
      <c r="P13" s="174">
        <v>13432.387225806451</v>
      </c>
      <c r="Q13" s="39">
        <v>0.5938528874508695</v>
      </c>
      <c r="R13" s="3">
        <v>3079.6004838709678</v>
      </c>
      <c r="S13" s="3">
        <v>5185.7969354838715</v>
      </c>
      <c r="T13" s="39">
        <v>0.96621386683713761</v>
      </c>
      <c r="U13" s="3">
        <v>4924.7639032258066</v>
      </c>
      <c r="V13" s="3">
        <v>5096.970838709678</v>
      </c>
      <c r="W13" s="63">
        <v>10122.779774193548</v>
      </c>
      <c r="X13" s="7">
        <v>0.42684856051725356</v>
      </c>
      <c r="Y13" s="24">
        <v>23715.154999999999</v>
      </c>
      <c r="Z13" s="25">
        <v>2.9545330315179495E-2</v>
      </c>
      <c r="AA13" s="3">
        <v>26.345806451612905</v>
      </c>
      <c r="AB13" s="3">
        <v>891.70796774193548</v>
      </c>
      <c r="AC13" s="39">
        <v>0.51179118046180516</v>
      </c>
      <c r="AD13" s="3">
        <v>108.36232258064516</v>
      </c>
      <c r="AE13" s="3">
        <v>211.73151612903226</v>
      </c>
      <c r="AF13" s="39">
        <v>0.98457709000316929</v>
      </c>
      <c r="AG13" s="3">
        <v>401.7487096774193</v>
      </c>
      <c r="AH13" s="3">
        <v>408.04190322580644</v>
      </c>
      <c r="AI13" s="63">
        <v>536.45683870967741</v>
      </c>
      <c r="AJ13" s="7">
        <v>0.35492123375736295</v>
      </c>
      <c r="AK13" s="26">
        <v>1511.4813870967741</v>
      </c>
      <c r="AL13" s="93">
        <f t="shared" si="0"/>
        <v>12174.666957532654</v>
      </c>
      <c r="AM13" s="7">
        <f t="shared" si="1"/>
        <v>0.40998598957940879</v>
      </c>
      <c r="AN13" s="3">
        <f t="shared" si="2"/>
        <v>29695.324393943916</v>
      </c>
      <c r="AO13" s="7">
        <f t="shared" si="3"/>
        <v>0.14312895272687537</v>
      </c>
      <c r="AP13" s="7">
        <f t="shared" si="4"/>
        <v>0.59564248443047563</v>
      </c>
      <c r="AQ13" s="94">
        <f t="shared" si="5"/>
        <v>0.95276061900658116</v>
      </c>
    </row>
    <row r="14" spans="1:43" ht="16.5" customHeight="1" x14ac:dyDescent="0.15">
      <c r="A14" s="177">
        <v>43405</v>
      </c>
      <c r="B14" s="25">
        <v>0.10740958685305609</v>
      </c>
      <c r="C14" s="51">
        <v>253.18277466300009</v>
      </c>
      <c r="D14" s="173">
        <v>2357.1711062381428</v>
      </c>
      <c r="E14" s="25">
        <v>0.61991775003710836</v>
      </c>
      <c r="F14" s="51">
        <v>834.75763226600031</v>
      </c>
      <c r="G14" s="173">
        <v>1346.5619144088575</v>
      </c>
      <c r="H14" s="25">
        <v>0.80899214984291001</v>
      </c>
      <c r="I14" s="51">
        <v>448.5467559694286</v>
      </c>
      <c r="J14" s="173">
        <v>554.45130840457148</v>
      </c>
      <c r="K14" s="63">
        <v>1536.487162898429</v>
      </c>
      <c r="L14" s="7">
        <v>0.36083152916037614</v>
      </c>
      <c r="M14" s="26">
        <v>4258.1843290515717</v>
      </c>
      <c r="N14" s="45">
        <v>0.1664754799908357</v>
      </c>
      <c r="O14" s="3">
        <v>1928.3205666666668</v>
      </c>
      <c r="P14" s="174">
        <v>11583.210733333333</v>
      </c>
      <c r="Q14" s="39">
        <v>0.63007166738269904</v>
      </c>
      <c r="R14" s="3">
        <v>3525.1718000000001</v>
      </c>
      <c r="S14" s="3">
        <v>5594.8743333333332</v>
      </c>
      <c r="T14" s="39">
        <v>0.98122770780400304</v>
      </c>
      <c r="U14" s="3">
        <v>7246.6622333333335</v>
      </c>
      <c r="V14" s="3">
        <v>7385.3012666666664</v>
      </c>
      <c r="W14" s="63">
        <v>12700.154600000002</v>
      </c>
      <c r="X14" s="7">
        <v>0.51703598305439957</v>
      </c>
      <c r="Y14" s="24">
        <v>24563.386333333332</v>
      </c>
      <c r="Z14" s="25">
        <v>2.9930446708998391E-2</v>
      </c>
      <c r="AA14" s="3">
        <v>25.602266666666665</v>
      </c>
      <c r="AB14" s="3">
        <v>855.39206666666666</v>
      </c>
      <c r="AC14" s="39">
        <v>0.5137429959433254</v>
      </c>
      <c r="AD14" s="3">
        <v>108.64566666666666</v>
      </c>
      <c r="AE14" s="3">
        <v>211.47863333333333</v>
      </c>
      <c r="AF14" s="39">
        <v>0.98652734171878409</v>
      </c>
      <c r="AG14" s="3">
        <v>419.47086666666667</v>
      </c>
      <c r="AH14" s="3">
        <v>425.19943333333333</v>
      </c>
      <c r="AI14" s="63">
        <v>553.71879999999999</v>
      </c>
      <c r="AJ14" s="7">
        <v>0.37110775668632562</v>
      </c>
      <c r="AK14" s="26">
        <v>1492.0701333333332</v>
      </c>
      <c r="AL14" s="93">
        <f t="shared" si="0"/>
        <v>14790.360562898431</v>
      </c>
      <c r="AM14" s="7">
        <f t="shared" si="1"/>
        <v>0.48791105834398985</v>
      </c>
      <c r="AN14" s="3">
        <f t="shared" si="2"/>
        <v>30313.640795718238</v>
      </c>
      <c r="AO14" s="7">
        <f t="shared" si="3"/>
        <v>0.14917135271077514</v>
      </c>
      <c r="AP14" s="7">
        <f t="shared" si="4"/>
        <v>0.62472085481615081</v>
      </c>
      <c r="AQ14" s="94">
        <f t="shared" si="5"/>
        <v>0.97008086212763867</v>
      </c>
    </row>
    <row r="15" spans="1:43" ht="15" customHeight="1" x14ac:dyDescent="0.15">
      <c r="A15" s="177">
        <v>43404</v>
      </c>
      <c r="B15" s="25">
        <v>0.10476866813943123</v>
      </c>
      <c r="C15" s="51">
        <v>240.57255571614274</v>
      </c>
      <c r="D15" s="173">
        <v>2296.226152230714</v>
      </c>
      <c r="E15" s="25">
        <v>0.63262186538712695</v>
      </c>
      <c r="F15" s="51">
        <v>793.32656483157132</v>
      </c>
      <c r="G15" s="173">
        <v>1254.029631660143</v>
      </c>
      <c r="H15" s="25">
        <v>0.87334382352377737</v>
      </c>
      <c r="I15" s="51">
        <v>471.22888219742839</v>
      </c>
      <c r="J15" s="173">
        <v>539.56857483242834</v>
      </c>
      <c r="K15" s="63">
        <v>1505.1280027451426</v>
      </c>
      <c r="L15" s="7">
        <v>0.36801776084462368</v>
      </c>
      <c r="M15" s="26">
        <v>4089.8243587232855</v>
      </c>
      <c r="N15" s="45">
        <v>0.17009863678128598</v>
      </c>
      <c r="O15" s="4">
        <v>1817.3523870967742</v>
      </c>
      <c r="P15" s="181">
        <v>10684.109064516129</v>
      </c>
      <c r="Q15" s="192">
        <v>0.58670617927071123</v>
      </c>
      <c r="R15" s="4">
        <v>3434.6209354838711</v>
      </c>
      <c r="S15" s="4">
        <v>5854.0732258064518</v>
      </c>
      <c r="T15" s="192">
        <v>0.97719250246991041</v>
      </c>
      <c r="U15" s="4">
        <v>7975.0579032258065</v>
      </c>
      <c r="V15" s="4">
        <v>8161.1943225806453</v>
      </c>
      <c r="W15" s="66">
        <v>13227.031225806451</v>
      </c>
      <c r="X15" s="67">
        <v>0.53552085273668426</v>
      </c>
      <c r="Y15" s="198">
        <v>24699.376612903226</v>
      </c>
      <c r="Z15" s="25">
        <v>3.2422940837163662E-2</v>
      </c>
      <c r="AA15" s="3">
        <v>21.796645161290325</v>
      </c>
      <c r="AB15" s="3">
        <v>672.2599677419355</v>
      </c>
      <c r="AC15" s="39">
        <v>0.53023940169280437</v>
      </c>
      <c r="AD15" s="3">
        <v>108.07693548387097</v>
      </c>
      <c r="AE15" s="3">
        <v>203.82667741935487</v>
      </c>
      <c r="AF15" s="39">
        <v>0.97418237012330233</v>
      </c>
      <c r="AG15" s="3">
        <v>455.01032258064515</v>
      </c>
      <c r="AH15" s="3">
        <v>467.06893548387092</v>
      </c>
      <c r="AI15" s="63">
        <v>584.88390322580653</v>
      </c>
      <c r="AJ15" s="7">
        <v>0.43545506689915087</v>
      </c>
      <c r="AK15" s="26">
        <v>1343.1555806451613</v>
      </c>
      <c r="AL15" s="93">
        <f>+AI15+W15+K15</f>
        <v>15317.043131777402</v>
      </c>
      <c r="AM15" s="7">
        <f>AL15/AN15</f>
        <v>0.50832543100989724</v>
      </c>
      <c r="AN15" s="3">
        <f>+AK15+Y15+M15</f>
        <v>30132.356552271674</v>
      </c>
      <c r="AO15" s="7">
        <f>(+AA15+O15+C15)/(D15+P15+AB15)</f>
        <v>0.1523315940940706</v>
      </c>
      <c r="AP15" s="7">
        <f>(+AD15+R15+F15)/(G15+S15+AE15)</f>
        <v>0.59300686844856831</v>
      </c>
      <c r="AQ15" s="94">
        <f>(AG15+U15+I15)/(AH15+V15+J15)</f>
        <v>0.97092717997545963</v>
      </c>
    </row>
    <row r="16" spans="1:43" ht="15" customHeight="1" x14ac:dyDescent="0.15">
      <c r="A16" s="177">
        <v>43361</v>
      </c>
      <c r="B16" s="25">
        <v>0.10367836591937836</v>
      </c>
      <c r="C16" s="51">
        <v>212.53095050514275</v>
      </c>
      <c r="D16" s="173">
        <v>2049.906444999428</v>
      </c>
      <c r="E16" s="25">
        <v>0.62441198197672232</v>
      </c>
      <c r="F16" s="51">
        <v>746.69955350471412</v>
      </c>
      <c r="G16" s="173">
        <v>1195.8443704761428</v>
      </c>
      <c r="H16" s="25">
        <v>0.86835230282764853</v>
      </c>
      <c r="I16" s="51">
        <v>501.75384628428571</v>
      </c>
      <c r="J16" s="173">
        <v>577.82290050985716</v>
      </c>
      <c r="K16" s="63">
        <v>1460.9843502941426</v>
      </c>
      <c r="L16" s="7">
        <v>0.38209917182611747</v>
      </c>
      <c r="M16" s="26">
        <v>3823.573715985428</v>
      </c>
      <c r="N16" s="45">
        <v>0.17907177560407667</v>
      </c>
      <c r="O16" s="3">
        <v>2272.7100333333333</v>
      </c>
      <c r="P16" s="174">
        <v>12691.615</v>
      </c>
      <c r="Q16" s="39">
        <v>0.57432470790030266</v>
      </c>
      <c r="R16" s="3">
        <v>3439.0472000000004</v>
      </c>
      <c r="S16" s="3">
        <v>5987.9840666666678</v>
      </c>
      <c r="T16" s="39">
        <v>0.97723275150878353</v>
      </c>
      <c r="U16" s="3">
        <v>8897.2464666666674</v>
      </c>
      <c r="V16" s="3">
        <v>9104.5316000000003</v>
      </c>
      <c r="W16" s="63">
        <v>14609.003700000001</v>
      </c>
      <c r="X16" s="7">
        <v>0.52580387974948584</v>
      </c>
      <c r="Y16" s="24">
        <v>27784.130666666668</v>
      </c>
      <c r="Z16" s="25">
        <v>3.1173067632586648E-2</v>
      </c>
      <c r="AA16" s="3">
        <v>21.900266666666667</v>
      </c>
      <c r="AB16" s="3">
        <v>702.53806666666662</v>
      </c>
      <c r="AC16" s="39">
        <v>0.53308666752069667</v>
      </c>
      <c r="AD16" s="3">
        <v>112.21753333333332</v>
      </c>
      <c r="AE16" s="3">
        <v>210.50523333333331</v>
      </c>
      <c r="AF16" s="39">
        <v>0.98894860226391945</v>
      </c>
      <c r="AG16" s="3">
        <v>380.90436666666665</v>
      </c>
      <c r="AH16" s="3">
        <v>385.16093333333333</v>
      </c>
      <c r="AI16" s="63">
        <v>515.02216666666664</v>
      </c>
      <c r="AJ16" s="7">
        <v>0.39671890866067372</v>
      </c>
      <c r="AK16" s="26">
        <v>1298.2042333333334</v>
      </c>
      <c r="AL16" s="93">
        <f>+AI16+W16+K16</f>
        <v>16585.010216960811</v>
      </c>
      <c r="AM16" s="7">
        <f>AL16/AN16</f>
        <v>0.50401313668342063</v>
      </c>
      <c r="AN16" s="3">
        <f>+AK16+Y16+M16</f>
        <v>32905.908615985427</v>
      </c>
      <c r="AO16" s="7">
        <f>(+AA16+O16+C16)/(D16+P16+AB16)</f>
        <v>0.16233693276118916</v>
      </c>
      <c r="AP16" s="7">
        <f>(+AD16+R16+F16)/(G16+S16+AE16)</f>
        <v>0.5812510603895007</v>
      </c>
      <c r="AQ16" s="94">
        <f>(AG16+U16+I16)/(AH16+V16+J16)</f>
        <v>0.9714318039922013</v>
      </c>
    </row>
    <row r="17" spans="1:43" s="184" customFormat="1" ht="15" customHeight="1" x14ac:dyDescent="0.15">
      <c r="A17" s="189">
        <v>43330</v>
      </c>
      <c r="B17" s="45">
        <v>0.10395431691808285</v>
      </c>
      <c r="C17" s="51">
        <v>257.98601842599993</v>
      </c>
      <c r="D17" s="197">
        <v>2481.7249160445713</v>
      </c>
      <c r="E17" s="45">
        <v>0.6267204188014045</v>
      </c>
      <c r="F17" s="84">
        <v>884.57804410599988</v>
      </c>
      <c r="G17" s="197">
        <v>1411.4396428917141</v>
      </c>
      <c r="H17" s="45">
        <v>0.83478034417824432</v>
      </c>
      <c r="I17" s="84">
        <v>633.65159290285726</v>
      </c>
      <c r="J17" s="197">
        <v>759.06386311314304</v>
      </c>
      <c r="K17" s="66">
        <v>1776.2156554348571</v>
      </c>
      <c r="L17" s="67">
        <v>0.38179889169164821</v>
      </c>
      <c r="M17" s="85">
        <v>4652.2284220494284</v>
      </c>
      <c r="N17" s="45">
        <v>0.17221467594563714</v>
      </c>
      <c r="O17" s="4">
        <v>2368.2664193548389</v>
      </c>
      <c r="P17" s="181">
        <v>13751.82693548387</v>
      </c>
      <c r="Q17" s="192">
        <v>0.5952406967833298</v>
      </c>
      <c r="R17" s="4">
        <v>3990.3409999999999</v>
      </c>
      <c r="S17" s="4">
        <v>6703.7435806451613</v>
      </c>
      <c r="T17" s="192">
        <v>0.98332547221014388</v>
      </c>
      <c r="U17" s="4">
        <v>10227.555548387098</v>
      </c>
      <c r="V17" s="4">
        <v>10400.987096774194</v>
      </c>
      <c r="W17" s="66">
        <v>16586.162967741937</v>
      </c>
      <c r="X17" s="67">
        <v>0.53752473544897739</v>
      </c>
      <c r="Y17" s="198">
        <v>30856.557612903227</v>
      </c>
      <c r="Z17" s="45">
        <v>2.9790417530241597E-2</v>
      </c>
      <c r="AA17" s="4">
        <v>23.014903225806453</v>
      </c>
      <c r="AB17" s="4">
        <v>772.56061290322589</v>
      </c>
      <c r="AC17" s="192">
        <v>0.53480277948506427</v>
      </c>
      <c r="AD17" s="4">
        <v>118.28170967741936</v>
      </c>
      <c r="AE17" s="4">
        <v>221.16883870967743</v>
      </c>
      <c r="AF17" s="192">
        <v>0.98784842089662417</v>
      </c>
      <c r="AG17" s="4">
        <v>435.18161290322575</v>
      </c>
      <c r="AH17" s="4">
        <v>440.53480645161289</v>
      </c>
      <c r="AI17" s="66">
        <v>576.47822580645163</v>
      </c>
      <c r="AJ17" s="67">
        <v>0.40193306258944683</v>
      </c>
      <c r="AK17" s="85">
        <v>1434.2642580645161</v>
      </c>
      <c r="AL17" s="193">
        <f>+AI17+W17+K17</f>
        <v>18938.856848983247</v>
      </c>
      <c r="AM17" s="67">
        <f>AL17/AN17</f>
        <v>0.51265005728460367</v>
      </c>
      <c r="AN17" s="4">
        <f>+AK17+Y17+M17</f>
        <v>36943.050293017171</v>
      </c>
      <c r="AO17" s="67">
        <f>(+AA17+O17+C17)/(D17+P17+AB17)</f>
        <v>0.15578324243989303</v>
      </c>
      <c r="AP17" s="67">
        <f>(+AD17+R17+F17)/(G17+S17+AE17)</f>
        <v>0.59896711613182607</v>
      </c>
      <c r="AQ17" s="194">
        <f>(AG17+U17+I17)/(AH17+V17+J17)</f>
        <v>0.97377744380560094</v>
      </c>
    </row>
    <row r="18" spans="1:43" ht="15" customHeight="1" x14ac:dyDescent="0.15">
      <c r="A18" s="177">
        <v>43282</v>
      </c>
      <c r="B18" s="25">
        <v>0.10769253653834381</v>
      </c>
      <c r="C18" s="51">
        <v>276.64543618500022</v>
      </c>
      <c r="D18" s="173">
        <v>2568.8450200678571</v>
      </c>
      <c r="E18" s="25">
        <v>0.63869894111837566</v>
      </c>
      <c r="F18" s="51">
        <v>979.48366064228583</v>
      </c>
      <c r="G18" s="173">
        <v>1533.5608024137143</v>
      </c>
      <c r="H18" s="25">
        <v>0.87117777864740731</v>
      </c>
      <c r="I18" s="51">
        <v>595.527096218</v>
      </c>
      <c r="J18" s="173">
        <v>683.58848310228575</v>
      </c>
      <c r="K18" s="63">
        <v>1851.656193045286</v>
      </c>
      <c r="L18" s="7">
        <v>0.38689059677420512</v>
      </c>
      <c r="M18" s="26">
        <v>4785.9943055838576</v>
      </c>
      <c r="N18" s="45">
        <v>0.17585782881537029</v>
      </c>
      <c r="O18" s="3">
        <v>2094.0522258064516</v>
      </c>
      <c r="P18" s="174">
        <v>11907.642894903225</v>
      </c>
      <c r="Q18" s="39">
        <v>0.58998999671146768</v>
      </c>
      <c r="R18" s="3">
        <v>3466.9186129032259</v>
      </c>
      <c r="S18" s="3">
        <v>5876.2328721290323</v>
      </c>
      <c r="T18" s="39">
        <v>0.98020065912699916</v>
      </c>
      <c r="U18" s="3">
        <v>6460.061741935484</v>
      </c>
      <c r="V18" s="3">
        <v>6590.550293741936</v>
      </c>
      <c r="W18" s="63">
        <v>12021.032580645162</v>
      </c>
      <c r="X18" s="7">
        <v>0.49318217998948616</v>
      </c>
      <c r="Y18" s="24">
        <v>24374.426060774196</v>
      </c>
      <c r="Z18" s="25">
        <v>3.3737275811924386E-2</v>
      </c>
      <c r="AA18" s="3">
        <v>22.451612903225808</v>
      </c>
      <c r="AB18" s="3">
        <v>665.48387096774195</v>
      </c>
      <c r="AC18" s="39">
        <v>0.54154302670623145</v>
      </c>
      <c r="AD18" s="3">
        <v>117.74193548387096</v>
      </c>
      <c r="AE18" s="3">
        <v>217.41935483870967</v>
      </c>
      <c r="AF18" s="39">
        <v>0.98921618296301661</v>
      </c>
      <c r="AG18" s="3">
        <v>440.90322580645159</v>
      </c>
      <c r="AH18" s="3">
        <v>445.70967741935482</v>
      </c>
      <c r="AI18" s="63">
        <v>581.09677419354841</v>
      </c>
      <c r="AJ18" s="7">
        <v>0.43737101512613208</v>
      </c>
      <c r="AK18" s="26">
        <v>1328.6129032258063</v>
      </c>
      <c r="AL18" s="93">
        <f>+AI18+W18+K18</f>
        <v>14453.785547883997</v>
      </c>
      <c r="AM18" s="7">
        <f t="shared" ref="AM18:AM26" si="6">AL18/AN18</f>
        <v>0.47406506530015918</v>
      </c>
      <c r="AN18" s="3">
        <f>+AK18+Y18+M18</f>
        <v>30489.033269583859</v>
      </c>
      <c r="AO18" s="7">
        <f>(+AA18+O18+C18)/(D18+P18+AB18)</f>
        <v>0.15804740021487887</v>
      </c>
      <c r="AP18" s="7">
        <f>(+AD18+R18+F18)/(G18+S18+AE18)</f>
        <v>0.59840261330677957</v>
      </c>
      <c r="AQ18" s="94">
        <f>(AG18+U18+I18)/(AH18+V18+J18)</f>
        <v>0.97106725713245268</v>
      </c>
    </row>
    <row r="19" spans="1:43" ht="15" customHeight="1" x14ac:dyDescent="0.15">
      <c r="A19" s="177">
        <v>43252</v>
      </c>
      <c r="B19" s="25">
        <v>0.10672126069837237</v>
      </c>
      <c r="C19" s="51">
        <v>224.83931277100004</v>
      </c>
      <c r="D19" s="173">
        <v>2106.7902618435719</v>
      </c>
      <c r="E19" s="25">
        <v>0.65108304340585677</v>
      </c>
      <c r="F19" s="51">
        <v>862.21915536914275</v>
      </c>
      <c r="G19" s="173">
        <v>1324.2844581834286</v>
      </c>
      <c r="H19" s="25">
        <v>0.87102676171393478</v>
      </c>
      <c r="I19" s="51">
        <v>503.6433678404286</v>
      </c>
      <c r="J19" s="173">
        <v>578.21801806571432</v>
      </c>
      <c r="K19" s="63">
        <v>1590.7018359805716</v>
      </c>
      <c r="L19" s="7">
        <v>0.39675372687734795</v>
      </c>
      <c r="M19" s="26">
        <v>4009.2927380927149</v>
      </c>
      <c r="N19" s="45">
        <v>0.17857712401870865</v>
      </c>
      <c r="O19" s="3">
        <v>1927.0253666666667</v>
      </c>
      <c r="P19" s="174">
        <v>10790.997879800001</v>
      </c>
      <c r="Q19" s="39">
        <v>0.57757300182377147</v>
      </c>
      <c r="R19" s="3">
        <v>3005.3162666666667</v>
      </c>
      <c r="S19" s="3">
        <v>5203.3530950666664</v>
      </c>
      <c r="T19" s="39">
        <v>0.97323110007092284</v>
      </c>
      <c r="U19" s="3">
        <v>7972.3757333333333</v>
      </c>
      <c r="V19" s="3">
        <v>8191.6573902666669</v>
      </c>
      <c r="W19" s="63">
        <v>12904.717366666668</v>
      </c>
      <c r="X19" s="7">
        <v>0.5335612711219504</v>
      </c>
      <c r="Y19" s="24">
        <v>24186.008365133333</v>
      </c>
      <c r="Z19" s="25">
        <v>3.3899148787893872E-2</v>
      </c>
      <c r="AA19" s="3">
        <v>22.7</v>
      </c>
      <c r="AB19" s="3">
        <v>669.63333333333333</v>
      </c>
      <c r="AC19" s="39">
        <v>0.53171281390856406</v>
      </c>
      <c r="AD19" s="3">
        <v>110.1</v>
      </c>
      <c r="AE19" s="3">
        <v>207.06666666666666</v>
      </c>
      <c r="AF19" s="39">
        <v>0.98846124061023766</v>
      </c>
      <c r="AG19" s="3">
        <v>425.46666666666664</v>
      </c>
      <c r="AH19" s="3">
        <v>430.43333333333334</v>
      </c>
      <c r="AI19" s="63">
        <v>558.26666666666665</v>
      </c>
      <c r="AJ19" s="7">
        <v>0.42709236497169378</v>
      </c>
      <c r="AK19" s="26">
        <v>1307.1333333333332</v>
      </c>
      <c r="AL19" s="93">
        <f>+AI19+W19+K19</f>
        <v>15053.685869313906</v>
      </c>
      <c r="AM19" s="7">
        <f t="shared" si="6"/>
        <v>0.51025232855561908</v>
      </c>
      <c r="AN19" s="3">
        <f>+AK19+Y19+M19</f>
        <v>29502.434436559379</v>
      </c>
      <c r="AO19" s="7">
        <f>(+AA19+O19+C19)/(D19+P19+AB19)</f>
        <v>0.16027840540284888</v>
      </c>
      <c r="AP19" s="7">
        <f>(+AD19+R19+F19)/(G19+S19+AE19)</f>
        <v>0.59061768596646269</v>
      </c>
      <c r="AQ19" s="94">
        <f>(AG19+U19+I19)/(AH19+V19+J19)</f>
        <v>0.96752033195668774</v>
      </c>
    </row>
    <row r="20" spans="1:43" ht="15" customHeight="1" x14ac:dyDescent="0.15">
      <c r="A20" s="177">
        <v>43221</v>
      </c>
      <c r="B20" s="25">
        <v>9.3572407100179958E-2</v>
      </c>
      <c r="C20" s="51">
        <v>191.07172952885725</v>
      </c>
      <c r="D20" s="173">
        <v>2041.9665951768573</v>
      </c>
      <c r="E20" s="25">
        <v>0.65385827290657794</v>
      </c>
      <c r="F20" s="51">
        <v>747.56063543571429</v>
      </c>
      <c r="G20" s="173">
        <v>1143.3068394357142</v>
      </c>
      <c r="H20" s="25">
        <v>0.90104765458168457</v>
      </c>
      <c r="I20" s="51">
        <v>449.41031013314262</v>
      </c>
      <c r="J20" s="173">
        <v>498.7641972629998</v>
      </c>
      <c r="K20" s="63">
        <v>1388.042675097714</v>
      </c>
      <c r="L20" s="7">
        <v>0.37677212173075736</v>
      </c>
      <c r="M20" s="26">
        <v>3684.0376318755716</v>
      </c>
      <c r="N20" s="45">
        <v>0.17533279974555821</v>
      </c>
      <c r="O20" s="3">
        <v>1701.2113225806452</v>
      </c>
      <c r="P20" s="174">
        <v>9702.7557025806454</v>
      </c>
      <c r="Q20" s="39">
        <v>0.63600112528337149</v>
      </c>
      <c r="R20" s="3">
        <v>3200.6237096774194</v>
      </c>
      <c r="S20" s="3">
        <v>5032.4183125483869</v>
      </c>
      <c r="T20" s="39">
        <v>0.97664092555896764</v>
      </c>
      <c r="U20" s="3">
        <v>7045.097548387097</v>
      </c>
      <c r="V20" s="3">
        <v>7213.6005813548391</v>
      </c>
      <c r="W20" s="63">
        <v>11946.932580645162</v>
      </c>
      <c r="X20" s="7">
        <v>0.54430977584320472</v>
      </c>
      <c r="Y20" s="24">
        <v>21948.774596483872</v>
      </c>
      <c r="Z20" s="25">
        <v>3.4872893193034729E-2</v>
      </c>
      <c r="AA20" s="3">
        <v>24.161290322580644</v>
      </c>
      <c r="AB20" s="3">
        <v>692.83870967741939</v>
      </c>
      <c r="AC20" s="39">
        <v>0.4794108330693696</v>
      </c>
      <c r="AD20" s="3">
        <v>97.645161290322577</v>
      </c>
      <c r="AE20" s="3">
        <v>203.67741935483872</v>
      </c>
      <c r="AF20" s="39">
        <v>0.98876232703921729</v>
      </c>
      <c r="AG20" s="3">
        <v>417.22580645161293</v>
      </c>
      <c r="AH20" s="3">
        <v>421.96774193548384</v>
      </c>
      <c r="AI20" s="63">
        <v>539.0322580645161</v>
      </c>
      <c r="AJ20" s="7">
        <v>0.40882734323391967</v>
      </c>
      <c r="AK20" s="26">
        <v>1318.483870967742</v>
      </c>
      <c r="AL20" s="93">
        <f t="shared" ref="AL20:AL26" si="7">+AI20+W20+K20</f>
        <v>13874.007513807392</v>
      </c>
      <c r="AM20" s="7">
        <f t="shared" si="6"/>
        <v>0.51478071639581535</v>
      </c>
      <c r="AN20" s="3">
        <f t="shared" ref="AN20:AN26" si="8">+AK20+Y20+M20</f>
        <v>26951.296099327184</v>
      </c>
      <c r="AO20" s="7">
        <f t="shared" ref="AO20:AO26" si="9">(+AA20+O20+C20)/(D20+P20+AB20)</f>
        <v>0.15408522147440901</v>
      </c>
      <c r="AP20" s="7">
        <f t="shared" ref="AP20:AP26" si="10">(+AD20+R20+F20)/(G20+S20+AE20)</f>
        <v>0.63420194307541522</v>
      </c>
      <c r="AQ20" s="94">
        <f t="shared" ref="AQ20:AQ26" si="11">(AG20+U20+I20)/(AH20+V20+J20)</f>
        <v>0.97263465010570671</v>
      </c>
    </row>
    <row r="21" spans="1:43" ht="15" customHeight="1" x14ac:dyDescent="0.15">
      <c r="A21" s="177">
        <v>43191</v>
      </c>
      <c r="B21" s="25">
        <v>9.3370412686948151E-2</v>
      </c>
      <c r="C21" s="51">
        <v>191.30324352214276</v>
      </c>
      <c r="D21" s="173">
        <v>2048.863639101</v>
      </c>
      <c r="E21" s="25">
        <v>0.6442244633272709</v>
      </c>
      <c r="F21" s="51">
        <v>705.25412402057111</v>
      </c>
      <c r="G21" s="173">
        <v>1094.7335349205712</v>
      </c>
      <c r="H21" s="25">
        <v>0.91341783544791078</v>
      </c>
      <c r="I21" s="51">
        <v>451.43172455442863</v>
      </c>
      <c r="J21" s="173">
        <v>494.22258580385721</v>
      </c>
      <c r="K21" s="63">
        <v>1347.9890920971425</v>
      </c>
      <c r="L21" s="7">
        <v>0.37054862007837075</v>
      </c>
      <c r="M21" s="26">
        <v>3637.8197598254283</v>
      </c>
      <c r="N21" s="45">
        <v>0.16962817521805093</v>
      </c>
      <c r="O21" s="3">
        <v>2008.1630666666667</v>
      </c>
      <c r="P21" s="174">
        <v>11838.617400000001</v>
      </c>
      <c r="Q21" s="39">
        <v>0.62881070414376128</v>
      </c>
      <c r="R21" s="3">
        <v>3306.2153333333335</v>
      </c>
      <c r="S21" s="3">
        <v>5257.8865333333333</v>
      </c>
      <c r="T21" s="39">
        <v>0.9778319838130215</v>
      </c>
      <c r="U21" s="3">
        <v>7097.4252999999999</v>
      </c>
      <c r="V21" s="3">
        <v>7258.3280333333332</v>
      </c>
      <c r="W21" s="63">
        <v>12411.8037</v>
      </c>
      <c r="X21" s="7">
        <v>0.50962386917665714</v>
      </c>
      <c r="Y21" s="24">
        <v>24354.831966666665</v>
      </c>
      <c r="Z21" s="25">
        <v>3.3972274516515487E-2</v>
      </c>
      <c r="AA21" s="3">
        <v>26.466666666666665</v>
      </c>
      <c r="AB21" s="3">
        <v>779.06666666666672</v>
      </c>
      <c r="AC21" s="39">
        <v>0.47291079115333234</v>
      </c>
      <c r="AD21" s="3">
        <v>106.2</v>
      </c>
      <c r="AE21" s="3">
        <v>224.56666666666666</v>
      </c>
      <c r="AF21" s="39">
        <v>0.99064408876517429</v>
      </c>
      <c r="AG21" s="3">
        <v>427.06666666666666</v>
      </c>
      <c r="AH21" s="3">
        <v>431.1</v>
      </c>
      <c r="AI21" s="63">
        <v>559.73333333333335</v>
      </c>
      <c r="AJ21" s="7">
        <v>0.39013057014079267</v>
      </c>
      <c r="AK21" s="26">
        <v>1434.7333333333336</v>
      </c>
      <c r="AL21" s="93">
        <f t="shared" si="7"/>
        <v>14319.526125430477</v>
      </c>
      <c r="AM21" s="7">
        <f t="shared" si="6"/>
        <v>0.48660545598323118</v>
      </c>
      <c r="AN21" s="3">
        <f t="shared" si="8"/>
        <v>29427.385059825428</v>
      </c>
      <c r="AO21" s="7">
        <f t="shared" si="9"/>
        <v>0.15176938850988911</v>
      </c>
      <c r="AP21" s="7">
        <f t="shared" si="10"/>
        <v>0.6260532995804674</v>
      </c>
      <c r="AQ21" s="94">
        <f t="shared" si="11"/>
        <v>0.97461683818339784</v>
      </c>
    </row>
    <row r="22" spans="1:43" ht="15" customHeight="1" x14ac:dyDescent="0.15">
      <c r="A22" s="177">
        <v>43160</v>
      </c>
      <c r="B22" s="25">
        <v>9.8485423364297123E-2</v>
      </c>
      <c r="C22" s="51">
        <v>221.99287648485708</v>
      </c>
      <c r="D22" s="173">
        <v>2254.0683575447147</v>
      </c>
      <c r="E22" s="25">
        <v>0.65057235053300289</v>
      </c>
      <c r="F22" s="51">
        <v>743.24678169685728</v>
      </c>
      <c r="G22" s="173">
        <v>1142.4506145825715</v>
      </c>
      <c r="H22" s="25">
        <v>0.89800808508898644</v>
      </c>
      <c r="I22" s="51">
        <v>449.75073600399998</v>
      </c>
      <c r="J22" s="173">
        <v>500.83149970685707</v>
      </c>
      <c r="K22" s="63">
        <v>1414.9903941857144</v>
      </c>
      <c r="L22" s="7">
        <v>0.36306470367798399</v>
      </c>
      <c r="M22" s="26">
        <v>3897.3504718341433</v>
      </c>
      <c r="N22" s="45">
        <v>0.16697718233005987</v>
      </c>
      <c r="O22" s="3">
        <v>2080.371322580645</v>
      </c>
      <c r="P22" s="174">
        <v>12459.015618483871</v>
      </c>
      <c r="Q22" s="39">
        <v>0.62457378382623407</v>
      </c>
      <c r="R22" s="3">
        <v>3334.0649677419356</v>
      </c>
      <c r="S22" s="3">
        <v>5338.1442738709684</v>
      </c>
      <c r="T22" s="39">
        <v>0.9540828837846469</v>
      </c>
      <c r="U22" s="3">
        <v>5535.3795806451617</v>
      </c>
      <c r="V22" s="3">
        <v>5801.7806154193549</v>
      </c>
      <c r="W22" s="63">
        <v>10949.815870967743</v>
      </c>
      <c r="X22" s="7">
        <v>0.4639960792884133</v>
      </c>
      <c r="Y22" s="24">
        <v>23598.940507774194</v>
      </c>
      <c r="Z22" s="25">
        <v>3.2067260056383662E-2</v>
      </c>
      <c r="AA22" s="3">
        <v>25.425677419354841</v>
      </c>
      <c r="AB22" s="3">
        <v>792.88587096774188</v>
      </c>
      <c r="AC22" s="39">
        <v>0.49205032235164725</v>
      </c>
      <c r="AD22" s="3">
        <v>99.900548387096777</v>
      </c>
      <c r="AE22" s="3">
        <v>203.02912903225808</v>
      </c>
      <c r="AF22" s="39">
        <v>0.99100560659694448</v>
      </c>
      <c r="AG22" s="3">
        <v>437.98119354838707</v>
      </c>
      <c r="AH22" s="3">
        <v>441.95632258064512</v>
      </c>
      <c r="AI22" s="63">
        <v>563.30741935483877</v>
      </c>
      <c r="AJ22" s="7">
        <v>0.39176483354841019</v>
      </c>
      <c r="AK22" s="26">
        <v>1437.871322580645</v>
      </c>
      <c r="AL22" s="93">
        <f t="shared" si="7"/>
        <v>12928.113684508295</v>
      </c>
      <c r="AM22" s="7">
        <f t="shared" si="6"/>
        <v>0.44681140409343151</v>
      </c>
      <c r="AN22" s="3">
        <f t="shared" si="8"/>
        <v>28934.162302188983</v>
      </c>
      <c r="AO22" s="7">
        <f t="shared" si="9"/>
        <v>0.1501221722635927</v>
      </c>
      <c r="AP22" s="7">
        <f t="shared" si="10"/>
        <v>0.62499211309574021</v>
      </c>
      <c r="AQ22" s="94">
        <f t="shared" si="11"/>
        <v>0.95233839933891995</v>
      </c>
    </row>
    <row r="23" spans="1:43" ht="15" customHeight="1" x14ac:dyDescent="0.15">
      <c r="A23" s="177">
        <v>43149</v>
      </c>
      <c r="B23" s="25">
        <v>0.10135800571855343</v>
      </c>
      <c r="C23" s="51">
        <v>231.14851629628564</v>
      </c>
      <c r="D23" s="173">
        <v>2280.515630291</v>
      </c>
      <c r="E23" s="25">
        <v>0.64614570313883601</v>
      </c>
      <c r="F23" s="51">
        <v>810.33084453528579</v>
      </c>
      <c r="G23" s="173">
        <v>1254.0992543924287</v>
      </c>
      <c r="H23" s="25">
        <v>0.89401614407024499</v>
      </c>
      <c r="I23" s="51">
        <v>444.6744373452857</v>
      </c>
      <c r="J23" s="173">
        <v>497.38971750642855</v>
      </c>
      <c r="K23" s="63">
        <v>1486.1537981768572</v>
      </c>
      <c r="L23" s="7">
        <v>0.36858931097690201</v>
      </c>
      <c r="M23" s="26">
        <v>4032.004602189857</v>
      </c>
      <c r="N23" s="45">
        <v>0.17096408797052318</v>
      </c>
      <c r="O23" s="3">
        <v>2554.1320357142858</v>
      </c>
      <c r="P23" s="174">
        <v>14939.582142857143</v>
      </c>
      <c r="Q23" s="39">
        <v>0.65018721688643066</v>
      </c>
      <c r="R23" s="3">
        <v>4171.193214285714</v>
      </c>
      <c r="S23" s="3">
        <v>6415.3725357142848</v>
      </c>
      <c r="T23" s="39">
        <v>0.95797011062519011</v>
      </c>
      <c r="U23" s="3">
        <v>4774.7313214285723</v>
      </c>
      <c r="V23" s="3">
        <v>4984.2174285714291</v>
      </c>
      <c r="W23" s="63">
        <v>11500.056571428573</v>
      </c>
      <c r="X23" s="7">
        <v>0.43661420050138555</v>
      </c>
      <c r="Y23" s="24">
        <v>26339.172107142858</v>
      </c>
      <c r="Z23" s="25">
        <v>3.0438789765035661E-2</v>
      </c>
      <c r="AA23" s="3">
        <v>30.916392857142856</v>
      </c>
      <c r="AB23" s="3">
        <v>1015.6906071428572</v>
      </c>
      <c r="AC23" s="39">
        <v>0.45607703424562435</v>
      </c>
      <c r="AD23" s="3">
        <v>115.90878571428571</v>
      </c>
      <c r="AE23" s="3">
        <v>254.143</v>
      </c>
      <c r="AF23" s="39">
        <v>0.99175826642145226</v>
      </c>
      <c r="AG23" s="3">
        <v>449.78157142857145</v>
      </c>
      <c r="AH23" s="3">
        <v>453.51935714285713</v>
      </c>
      <c r="AI23" s="63">
        <v>596.60675000000003</v>
      </c>
      <c r="AJ23" s="7">
        <v>0.34618952841577538</v>
      </c>
      <c r="AK23" s="26">
        <v>1723.3529642857143</v>
      </c>
      <c r="AL23" s="93">
        <f t="shared" si="7"/>
        <v>13582.817119605432</v>
      </c>
      <c r="AM23" s="7">
        <f t="shared" si="6"/>
        <v>0.42321284211777849</v>
      </c>
      <c r="AN23" s="3">
        <f t="shared" si="8"/>
        <v>32094.529673618428</v>
      </c>
      <c r="AO23" s="7">
        <f t="shared" si="9"/>
        <v>0.15443242080564079</v>
      </c>
      <c r="AP23" s="7">
        <f t="shared" si="10"/>
        <v>0.64332163785900487</v>
      </c>
      <c r="AQ23" s="94">
        <f t="shared" si="11"/>
        <v>0.95519233282155447</v>
      </c>
    </row>
    <row r="24" spans="1:43" ht="15" customHeight="1" x14ac:dyDescent="0.15">
      <c r="A24" s="177">
        <v>43101</v>
      </c>
      <c r="B24" s="25">
        <v>0.10159321353367762</v>
      </c>
      <c r="C24" s="13">
        <v>257</v>
      </c>
      <c r="D24" s="173">
        <v>2529.2599337971428</v>
      </c>
      <c r="E24" s="25">
        <v>0.65199913197578085</v>
      </c>
      <c r="F24" s="51">
        <v>931</v>
      </c>
      <c r="G24" s="173">
        <v>1428.2707813434283</v>
      </c>
      <c r="H24" s="25">
        <v>0.88421651915079047</v>
      </c>
      <c r="I24" s="51">
        <v>467</v>
      </c>
      <c r="J24" s="173">
        <v>527.65629994928588</v>
      </c>
      <c r="K24" s="63">
        <v>1654.749371047857</v>
      </c>
      <c r="L24" s="7">
        <v>0.36893653831616324</v>
      </c>
      <c r="M24" s="26">
        <v>4485.1870150898576</v>
      </c>
      <c r="N24" s="45">
        <v>0.172764146570523</v>
      </c>
      <c r="O24" s="3">
        <v>2679.8214516129033</v>
      </c>
      <c r="P24" s="174">
        <v>15511.444387096773</v>
      </c>
      <c r="Q24" s="39">
        <v>0.63400421767916326</v>
      </c>
      <c r="R24" s="3">
        <v>3653.1890967741933</v>
      </c>
      <c r="S24" s="3">
        <v>5762.0895806451608</v>
      </c>
      <c r="T24" s="39">
        <v>0.9781864410420027</v>
      </c>
      <c r="U24" s="3">
        <v>8742.8433870967747</v>
      </c>
      <c r="V24" s="3">
        <v>8937.8088064516141</v>
      </c>
      <c r="W24" s="63">
        <v>15075.853935483872</v>
      </c>
      <c r="X24" s="7">
        <v>0.49901303785681544</v>
      </c>
      <c r="Y24" s="24">
        <v>30211.342774193548</v>
      </c>
      <c r="Z24" s="25">
        <v>2.9368505116450724E-2</v>
      </c>
      <c r="AA24" s="3">
        <v>28.806451612903224</v>
      </c>
      <c r="AB24" s="3">
        <v>980.86203225806457</v>
      </c>
      <c r="AC24" s="39">
        <v>0.38461972488768065</v>
      </c>
      <c r="AD24" s="3">
        <v>95.213258064516126</v>
      </c>
      <c r="AE24" s="3">
        <v>247.55167741935483</v>
      </c>
      <c r="AF24" s="39">
        <v>0.9917293977124777</v>
      </c>
      <c r="AG24" s="3">
        <v>437.40138709677416</v>
      </c>
      <c r="AH24" s="3">
        <v>441.04912903225807</v>
      </c>
      <c r="AI24" s="63">
        <v>561.42109677419342</v>
      </c>
      <c r="AJ24" s="7">
        <v>0.33628846582060729</v>
      </c>
      <c r="AK24" s="26">
        <v>1669.4628387096775</v>
      </c>
      <c r="AL24" s="93">
        <f t="shared" si="7"/>
        <v>17292.024403305921</v>
      </c>
      <c r="AM24" s="7">
        <f t="shared" si="6"/>
        <v>0.47549985999819006</v>
      </c>
      <c r="AN24" s="3">
        <f t="shared" si="8"/>
        <v>36365.992627993081</v>
      </c>
      <c r="AO24" s="7">
        <f t="shared" si="9"/>
        <v>0.15590871162586384</v>
      </c>
      <c r="AP24" s="7">
        <f t="shared" si="10"/>
        <v>0.62912848794743059</v>
      </c>
      <c r="AQ24" s="94">
        <f t="shared" si="11"/>
        <v>0.97382838654667581</v>
      </c>
    </row>
    <row r="25" spans="1:43" ht="15" customHeight="1" x14ac:dyDescent="0.15">
      <c r="A25" s="177">
        <v>43070</v>
      </c>
      <c r="B25" s="25">
        <v>0.10216256524981357</v>
      </c>
      <c r="C25" s="13">
        <v>294</v>
      </c>
      <c r="D25" s="173">
        <v>2873.5714285714284</v>
      </c>
      <c r="E25" s="25">
        <v>0.65357466063348413</v>
      </c>
      <c r="F25" s="51">
        <v>1031</v>
      </c>
      <c r="G25" s="173">
        <v>1578.5714285714287</v>
      </c>
      <c r="H25" s="25">
        <v>0.87693259121830558</v>
      </c>
      <c r="I25" s="13">
        <v>405</v>
      </c>
      <c r="J25" s="173">
        <v>462</v>
      </c>
      <c r="K25" s="63">
        <v>1730.4285714285713</v>
      </c>
      <c r="L25" s="7">
        <v>0.35213232942818107</v>
      </c>
      <c r="M25" s="26">
        <v>4914.1428571428569</v>
      </c>
      <c r="N25" s="45">
        <v>0.17535086176902026</v>
      </c>
      <c r="O25" s="3">
        <v>2123.1923548387099</v>
      </c>
      <c r="P25" s="174">
        <v>12108.251612903225</v>
      </c>
      <c r="Q25" s="39">
        <v>0.58057518363108362</v>
      </c>
      <c r="R25" s="3">
        <v>2784.7843225806455</v>
      </c>
      <c r="S25" s="3">
        <v>4796.5955161290331</v>
      </c>
      <c r="T25" s="39">
        <v>0.98566682972887898</v>
      </c>
      <c r="U25" s="3">
        <v>7054.9133225806454</v>
      </c>
      <c r="V25" s="3">
        <v>7157.5030322580651</v>
      </c>
      <c r="W25" s="63">
        <v>11962.890000000001</v>
      </c>
      <c r="X25" s="7">
        <v>0.49716216079529046</v>
      </c>
      <c r="Y25" s="24">
        <v>24062.35016129032</v>
      </c>
      <c r="Z25" s="25">
        <v>3.0743735922530154E-2</v>
      </c>
      <c r="AA25" s="3">
        <v>26.489870967741936</v>
      </c>
      <c r="AB25" s="3">
        <v>861.63474193548393</v>
      </c>
      <c r="AC25" s="39">
        <v>0.50972929257291011</v>
      </c>
      <c r="AD25" s="3">
        <v>111.47748387096775</v>
      </c>
      <c r="AE25" s="3">
        <v>218.69938709677422</v>
      </c>
      <c r="AF25" s="39">
        <v>0.9999172729972271</v>
      </c>
      <c r="AG25" s="3">
        <v>394.19058064516128</v>
      </c>
      <c r="AH25" s="3">
        <v>394.22319354838709</v>
      </c>
      <c r="AI25" s="63">
        <v>532.15793548387092</v>
      </c>
      <c r="AJ25" s="7">
        <v>0.36089335242154791</v>
      </c>
      <c r="AK25" s="26">
        <v>1474.5573225806452</v>
      </c>
      <c r="AL25" s="93">
        <f t="shared" si="7"/>
        <v>14225.476506912442</v>
      </c>
      <c r="AM25" s="7">
        <f t="shared" si="6"/>
        <v>0.46715881217904903</v>
      </c>
      <c r="AN25" s="3">
        <f t="shared" si="8"/>
        <v>30451.050341013819</v>
      </c>
      <c r="AO25" s="7">
        <f t="shared" si="9"/>
        <v>0.15423919823646443</v>
      </c>
      <c r="AP25" s="7">
        <f t="shared" si="10"/>
        <v>0.59559317839268233</v>
      </c>
      <c r="AQ25" s="94">
        <f t="shared" si="11"/>
        <v>0.98008138560229119</v>
      </c>
    </row>
    <row r="26" spans="1:43" ht="15" customHeight="1" x14ac:dyDescent="0.15">
      <c r="A26" s="177">
        <v>43040</v>
      </c>
      <c r="B26" s="25">
        <v>0.10447380177420383</v>
      </c>
      <c r="C26" s="13">
        <v>234</v>
      </c>
      <c r="D26" s="173">
        <v>2238.4285714285716</v>
      </c>
      <c r="E26" s="25">
        <v>0.65192491250397711</v>
      </c>
      <c r="F26" s="13">
        <v>878</v>
      </c>
      <c r="G26" s="185">
        <v>1347</v>
      </c>
      <c r="H26" s="25">
        <v>0.86086710116180221</v>
      </c>
      <c r="I26" s="13">
        <v>434</v>
      </c>
      <c r="J26" s="173">
        <v>504.14285714285717</v>
      </c>
      <c r="K26" s="63">
        <v>1546</v>
      </c>
      <c r="L26" s="7">
        <v>0.37803472246480596</v>
      </c>
      <c r="M26" s="26">
        <v>4089.5714285714284</v>
      </c>
      <c r="N26" s="45">
        <v>0.18964737199405957</v>
      </c>
      <c r="O26" s="3">
        <v>2288.4170333333332</v>
      </c>
      <c r="P26" s="174">
        <v>12066.6952</v>
      </c>
      <c r="Q26" s="39">
        <v>0.62923806070134181</v>
      </c>
      <c r="R26" s="3">
        <v>3414.0216666666665</v>
      </c>
      <c r="S26" s="3">
        <v>5425.6439333333328</v>
      </c>
      <c r="T26" s="39">
        <v>0.96892832939456874</v>
      </c>
      <c r="U26" s="3">
        <v>3855.4860666666668</v>
      </c>
      <c r="V26" s="3">
        <v>3979.1241</v>
      </c>
      <c r="W26" s="63">
        <v>9557.924766666667</v>
      </c>
      <c r="X26" s="7">
        <v>0.44514547810735522</v>
      </c>
      <c r="Y26" s="24">
        <v>21471.463233333336</v>
      </c>
      <c r="Z26" s="25">
        <v>3.2287416074938832E-2</v>
      </c>
      <c r="AA26" s="3">
        <v>24.105900000000002</v>
      </c>
      <c r="AB26" s="3">
        <v>746.60356666666667</v>
      </c>
      <c r="AC26" s="39">
        <v>0.51623176289669526</v>
      </c>
      <c r="AD26" s="3">
        <v>112.05433333333333</v>
      </c>
      <c r="AE26" s="3">
        <v>217.06206666666668</v>
      </c>
      <c r="AF26" s="39">
        <v>1</v>
      </c>
      <c r="AG26" s="3">
        <v>429.49736666666666</v>
      </c>
      <c r="AH26" s="3">
        <v>429.49736666666666</v>
      </c>
      <c r="AI26" s="63">
        <v>565.6576</v>
      </c>
      <c r="AJ26" s="7">
        <v>0.40602399001409023</v>
      </c>
      <c r="AK26" s="26">
        <v>1393.163</v>
      </c>
      <c r="AL26" s="93">
        <f t="shared" si="7"/>
        <v>11669.582366666667</v>
      </c>
      <c r="AM26" s="7">
        <f t="shared" si="6"/>
        <v>0.43294118834632073</v>
      </c>
      <c r="AN26" s="3">
        <f t="shared" si="8"/>
        <v>26954.197661904764</v>
      </c>
      <c r="AO26" s="7">
        <f t="shared" si="9"/>
        <v>0.16918476372397467</v>
      </c>
      <c r="AP26" s="7">
        <f t="shared" si="10"/>
        <v>0.63008029236136687</v>
      </c>
      <c r="AQ26" s="94">
        <f t="shared" si="11"/>
        <v>0.96055563065847915</v>
      </c>
    </row>
    <row r="27" spans="1:43" x14ac:dyDescent="0.15">
      <c r="A27" s="177">
        <v>43009</v>
      </c>
      <c r="B27" s="25">
        <v>0.10484631132719964</v>
      </c>
      <c r="C27" s="51">
        <v>194.45173114342859</v>
      </c>
      <c r="D27" s="173">
        <v>1854.6358825785715</v>
      </c>
      <c r="E27" s="25">
        <v>0.64989159181717304</v>
      </c>
      <c r="F27" s="51">
        <v>653.33800731414283</v>
      </c>
      <c r="G27" s="173">
        <v>1005.303062142</v>
      </c>
      <c r="H27" s="25">
        <v>0.93274468389219545</v>
      </c>
      <c r="I27" s="51">
        <v>504.42620483628571</v>
      </c>
      <c r="J27" s="173">
        <v>540.79772690999994</v>
      </c>
      <c r="K27" s="63">
        <v>1352.215943293857</v>
      </c>
      <c r="L27" s="7">
        <v>0.39762441901904211</v>
      </c>
      <c r="M27" s="26">
        <v>3400.7366716305714</v>
      </c>
      <c r="N27" s="45">
        <v>0.18731849925346777</v>
      </c>
      <c r="O27" s="3">
        <v>1860.2529666666667</v>
      </c>
      <c r="P27" s="174">
        <v>9930.9623666666666</v>
      </c>
      <c r="Q27" s="39">
        <v>0.63159828638759485</v>
      </c>
      <c r="R27" s="3">
        <v>3424.5825</v>
      </c>
      <c r="S27" s="3">
        <v>5422.0896000000002</v>
      </c>
      <c r="T27" s="39">
        <v>0.98537864105906525</v>
      </c>
      <c r="U27" s="3">
        <v>9290.1045333333332</v>
      </c>
      <c r="V27" s="3">
        <v>9427.9540333333334</v>
      </c>
      <c r="W27" s="63">
        <v>14574.939999999999</v>
      </c>
      <c r="X27" s="7">
        <v>0.58814964977612283</v>
      </c>
      <c r="Y27" s="24">
        <v>24781.006000000001</v>
      </c>
      <c r="Z27" s="25">
        <v>3.3071664939105259E-2</v>
      </c>
      <c r="AA27" s="3">
        <v>22.241516129032256</v>
      </c>
      <c r="AB27" s="3">
        <v>672.5248387096774</v>
      </c>
      <c r="AC27" s="39">
        <v>0.53160625431182162</v>
      </c>
      <c r="AD27" s="3">
        <v>110.41451612903225</v>
      </c>
      <c r="AE27" s="3">
        <v>207.69980645161289</v>
      </c>
      <c r="AF27" s="39">
        <v>0.99985709968083214</v>
      </c>
      <c r="AG27" s="3">
        <v>451.41193548387099</v>
      </c>
      <c r="AH27" s="3">
        <v>451.47645161290325</v>
      </c>
      <c r="AI27" s="63">
        <v>584.06796774193549</v>
      </c>
      <c r="AJ27" s="7">
        <v>0.43858788519190617</v>
      </c>
      <c r="AK27" s="26">
        <v>1331.7010967741935</v>
      </c>
      <c r="AL27" s="93">
        <f t="shared" ref="AL27:AL32" si="12">+AI27+W27+K27</f>
        <v>16511.223911035791</v>
      </c>
      <c r="AM27" s="7">
        <f t="shared" ref="AM27:AM32" si="13">AL27/AN27</f>
        <v>0.55944755348109076</v>
      </c>
      <c r="AN27" s="3">
        <f t="shared" ref="AN27:AN32" si="14">+AK27+Y27+M27</f>
        <v>29513.443768404766</v>
      </c>
      <c r="AO27" s="7">
        <f t="shared" ref="AO27:AO32" si="15">(+AA27+O27+C27)/(D27+P27+AB27)</f>
        <v>0.16671421523738308</v>
      </c>
      <c r="AP27" s="7">
        <f t="shared" ref="AP27:AP32" si="16">(+AD27+R27+F27)/(G27+S27+AE27)</f>
        <v>0.63123988750241822</v>
      </c>
      <c r="AQ27" s="94">
        <f t="shared" ref="AQ27:AQ32" si="17">(AG27+U27+I27)/(AH27+V27+J27)</f>
        <v>0.98327430698643981</v>
      </c>
    </row>
    <row r="28" spans="1:43" x14ac:dyDescent="0.15">
      <c r="A28" s="177">
        <v>42979</v>
      </c>
      <c r="B28" s="25">
        <v>0.11062667627696071</v>
      </c>
      <c r="C28" s="51">
        <v>247.34776828799997</v>
      </c>
      <c r="D28" s="173">
        <v>2235.8781499387142</v>
      </c>
      <c r="E28" s="25">
        <v>0.65779045194749641</v>
      </c>
      <c r="F28" s="51">
        <v>888.83792448442853</v>
      </c>
      <c r="G28" s="173">
        <v>1351.2478356182858</v>
      </c>
      <c r="H28" s="25">
        <v>0.9362601154925636</v>
      </c>
      <c r="I28" s="51">
        <v>593.43013209728565</v>
      </c>
      <c r="J28" s="173">
        <v>633.8304091754286</v>
      </c>
      <c r="K28" s="63">
        <v>1729.6158248697141</v>
      </c>
      <c r="L28" s="7">
        <v>0.40976870242682439</v>
      </c>
      <c r="M28" s="26">
        <v>4220.9563947324286</v>
      </c>
      <c r="N28" s="45">
        <v>0.18858270432317203</v>
      </c>
      <c r="O28" s="3">
        <v>2227.8982666666666</v>
      </c>
      <c r="P28" s="174">
        <v>11813.905600000002</v>
      </c>
      <c r="Q28" s="39">
        <v>0.62177885372231667</v>
      </c>
      <c r="R28" s="3">
        <v>3872.6842000000001</v>
      </c>
      <c r="S28" s="3">
        <v>6228.3948333333337</v>
      </c>
      <c r="T28" s="39">
        <v>0.98241607567927225</v>
      </c>
      <c r="U28" s="3">
        <v>8157.4965999999995</v>
      </c>
      <c r="V28" s="3">
        <v>8303.5047999999988</v>
      </c>
      <c r="W28" s="63">
        <v>14258.079066666665</v>
      </c>
      <c r="X28" s="7">
        <v>0.54118972414731925</v>
      </c>
      <c r="Y28" s="24">
        <v>26345.805233333333</v>
      </c>
      <c r="Z28" s="25">
        <v>3.4049427359617544E-2</v>
      </c>
      <c r="AA28" s="3">
        <v>23.585166666666666</v>
      </c>
      <c r="AB28" s="3">
        <v>692.67439999999999</v>
      </c>
      <c r="AC28" s="39">
        <v>0.53737321421763906</v>
      </c>
      <c r="AD28" s="3">
        <v>120.28676666666667</v>
      </c>
      <c r="AE28" s="3">
        <v>223.84213333333335</v>
      </c>
      <c r="AF28" s="39">
        <v>0.99899817827067039</v>
      </c>
      <c r="AG28" s="3">
        <v>398.87263333333334</v>
      </c>
      <c r="AH28" s="3">
        <v>399.27263333333332</v>
      </c>
      <c r="AI28" s="63">
        <v>542.74456666666663</v>
      </c>
      <c r="AJ28" s="7">
        <v>0.41248596691339223</v>
      </c>
      <c r="AK28" s="26">
        <v>1315.7891666666667</v>
      </c>
      <c r="AL28" s="93">
        <f t="shared" si="12"/>
        <v>16530.439458203047</v>
      </c>
      <c r="AM28" s="7">
        <f t="shared" si="13"/>
        <v>0.51847920088420829</v>
      </c>
      <c r="AN28" s="3">
        <f t="shared" si="14"/>
        <v>31882.550794732426</v>
      </c>
      <c r="AO28" s="7">
        <f t="shared" si="15"/>
        <v>0.16949895168138704</v>
      </c>
      <c r="AP28" s="7">
        <f t="shared" si="16"/>
        <v>0.62559343868032435</v>
      </c>
      <c r="AQ28" s="94">
        <f t="shared" si="17"/>
        <v>0.97999182570059118</v>
      </c>
    </row>
    <row r="29" spans="1:43" x14ac:dyDescent="0.15">
      <c r="A29" s="177">
        <v>42948</v>
      </c>
      <c r="B29" s="25">
        <v>0.11100663435310752</v>
      </c>
      <c r="C29" s="51">
        <v>232.02257821828582</v>
      </c>
      <c r="D29" s="173">
        <v>2090.1685702877144</v>
      </c>
      <c r="E29" s="25">
        <v>0.65859898892865099</v>
      </c>
      <c r="F29" s="51">
        <v>843.16688261657146</v>
      </c>
      <c r="G29" s="173">
        <v>1280.243208372</v>
      </c>
      <c r="H29" s="25">
        <v>0.9244800387709281</v>
      </c>
      <c r="I29" s="51">
        <v>658.183522401</v>
      </c>
      <c r="J29" s="173">
        <v>711.94995543228572</v>
      </c>
      <c r="K29" s="63">
        <v>1733.3729832358572</v>
      </c>
      <c r="L29" s="7">
        <v>0.42460053668453135</v>
      </c>
      <c r="M29" s="26">
        <v>4082.361734092</v>
      </c>
      <c r="N29" s="45">
        <v>0.18858270432317203</v>
      </c>
      <c r="O29" s="3">
        <v>2227.8982666666666</v>
      </c>
      <c r="P29" s="174">
        <v>11813.905600000002</v>
      </c>
      <c r="Q29" s="39">
        <v>0.62177885372231667</v>
      </c>
      <c r="R29" s="3">
        <v>3872.6842000000001</v>
      </c>
      <c r="S29" s="3">
        <v>6228.3948333333337</v>
      </c>
      <c r="T29" s="39">
        <v>0.98241607567927225</v>
      </c>
      <c r="U29" s="3">
        <v>8157.4965999999995</v>
      </c>
      <c r="V29" s="3">
        <v>8303.5047999999988</v>
      </c>
      <c r="W29" s="63">
        <v>14258.079066666665</v>
      </c>
      <c r="X29" s="7">
        <v>0.54118972414731925</v>
      </c>
      <c r="Y29" s="24">
        <v>26345.805233333333</v>
      </c>
      <c r="Z29" s="25">
        <v>3.4431360342421294E-2</v>
      </c>
      <c r="AA29" s="3">
        <v>23.736129032258066</v>
      </c>
      <c r="AB29" s="3">
        <v>689.37529032258055</v>
      </c>
      <c r="AC29" s="39">
        <v>0.54036757236170785</v>
      </c>
      <c r="AD29" s="3">
        <v>115.56396774193549</v>
      </c>
      <c r="AE29" s="3">
        <v>213.8617741935484</v>
      </c>
      <c r="AF29" s="39">
        <v>0.99732264214762167</v>
      </c>
      <c r="AG29" s="3">
        <v>432.5836129032258</v>
      </c>
      <c r="AH29" s="3">
        <v>433.74490322580647</v>
      </c>
      <c r="AI29" s="63">
        <v>571.88370967741935</v>
      </c>
      <c r="AJ29" s="7">
        <v>0.42774227586875313</v>
      </c>
      <c r="AK29" s="26">
        <v>1336.9819677419355</v>
      </c>
      <c r="AL29" s="93">
        <f t="shared" si="12"/>
        <v>16563.335759579943</v>
      </c>
      <c r="AM29" s="7">
        <f t="shared" si="13"/>
        <v>0.52143107508753517</v>
      </c>
      <c r="AN29" s="3">
        <f t="shared" si="14"/>
        <v>31765.148935167268</v>
      </c>
      <c r="AO29" s="7">
        <f t="shared" si="15"/>
        <v>0.17018984994746703</v>
      </c>
      <c r="AP29" s="7">
        <f t="shared" si="16"/>
        <v>0.62562838012785904</v>
      </c>
      <c r="AQ29" s="94">
        <f t="shared" si="17"/>
        <v>0.97873513835960124</v>
      </c>
    </row>
    <row r="30" spans="1:43" x14ac:dyDescent="0.15">
      <c r="A30" s="177">
        <v>42917</v>
      </c>
      <c r="B30" s="25">
        <v>0.10997180141163641</v>
      </c>
      <c r="C30" s="51">
        <v>244.08203124999997</v>
      </c>
      <c r="D30" s="173">
        <v>2219.4965265356923</v>
      </c>
      <c r="E30" s="25">
        <v>0.66366441716046443</v>
      </c>
      <c r="F30" s="51">
        <v>913.27078653571436</v>
      </c>
      <c r="G30" s="173">
        <v>1376.1032879285717</v>
      </c>
      <c r="H30" s="25">
        <v>0.95700059765871648</v>
      </c>
      <c r="I30" s="51">
        <v>546.42632142857144</v>
      </c>
      <c r="J30" s="173">
        <v>570.97803571428574</v>
      </c>
      <c r="K30" s="63">
        <v>1703.7791392142858</v>
      </c>
      <c r="L30" s="7">
        <v>0.4089157098411767</v>
      </c>
      <c r="M30" s="26">
        <v>4166.5778501785499</v>
      </c>
      <c r="N30" s="45">
        <v>0.19569334594666621</v>
      </c>
      <c r="O30" s="3">
        <v>2203.6221935483868</v>
      </c>
      <c r="P30" s="174">
        <v>11260.588258064516</v>
      </c>
      <c r="Q30" s="39">
        <v>0.61972564916951389</v>
      </c>
      <c r="R30" s="3">
        <v>3582.0490967741935</v>
      </c>
      <c r="S30" s="3">
        <v>5780.056225806451</v>
      </c>
      <c r="T30" s="39">
        <v>0.98179045875130155</v>
      </c>
      <c r="U30" s="3">
        <v>6967.4598387096776</v>
      </c>
      <c r="V30" s="3">
        <v>7096.6872580645158</v>
      </c>
      <c r="W30" s="63">
        <v>12753.131129032257</v>
      </c>
      <c r="X30" s="7">
        <v>0.52835712188001904</v>
      </c>
      <c r="Y30" s="24">
        <v>24137.331741935483</v>
      </c>
      <c r="Z30" s="25">
        <v>3.445755379690383E-2</v>
      </c>
      <c r="AA30" s="3">
        <v>22.88032258064516</v>
      </c>
      <c r="AB30" s="3">
        <v>664.01470967741943</v>
      </c>
      <c r="AC30" s="39">
        <v>0.53495617108270743</v>
      </c>
      <c r="AD30" s="3">
        <v>113.65929032258065</v>
      </c>
      <c r="AE30" s="3">
        <v>212.46467741935487</v>
      </c>
      <c r="AF30" s="39">
        <v>1</v>
      </c>
      <c r="AG30" s="3">
        <v>414.32193548387096</v>
      </c>
      <c r="AH30" s="3">
        <v>414.32193548387096</v>
      </c>
      <c r="AI30" s="63">
        <v>550.86154838709672</v>
      </c>
      <c r="AJ30" s="7">
        <v>0.42675936160785932</v>
      </c>
      <c r="AK30" s="26">
        <v>1290.8013225806453</v>
      </c>
      <c r="AL30" s="93">
        <f t="shared" si="12"/>
        <v>15007.77181663364</v>
      </c>
      <c r="AM30" s="7">
        <f t="shared" si="13"/>
        <v>0.50710993122699577</v>
      </c>
      <c r="AN30" s="3">
        <f t="shared" si="14"/>
        <v>29594.710914694679</v>
      </c>
      <c r="AO30" s="7">
        <f t="shared" si="15"/>
        <v>0.17467245252188537</v>
      </c>
      <c r="AP30" s="7">
        <f t="shared" si="16"/>
        <v>0.62548707249384639</v>
      </c>
      <c r="AQ30" s="94">
        <f t="shared" si="17"/>
        <v>0.98097260868171632</v>
      </c>
    </row>
    <row r="31" spans="1:43" x14ac:dyDescent="0.15">
      <c r="A31" s="177">
        <v>42887</v>
      </c>
      <c r="B31" s="25">
        <v>0.10740529515852681</v>
      </c>
      <c r="C31" s="51">
        <v>237.32060832142858</v>
      </c>
      <c r="D31" s="173">
        <v>2209.5801512500002</v>
      </c>
      <c r="E31" s="25">
        <v>0.6751397634900731</v>
      </c>
      <c r="F31" s="51">
        <v>911.40246428571425</v>
      </c>
      <c r="G31" s="173">
        <v>1349.9463571428571</v>
      </c>
      <c r="H31" s="25">
        <v>0.95396326332831194</v>
      </c>
      <c r="I31" s="51">
        <v>511.65264285714284</v>
      </c>
      <c r="J31" s="173">
        <v>536.34417857142853</v>
      </c>
      <c r="K31" s="63">
        <v>1660.3757154642856</v>
      </c>
      <c r="L31" s="7">
        <v>0.4053779629197467</v>
      </c>
      <c r="M31" s="26">
        <v>4095.8706869642856</v>
      </c>
      <c r="N31" s="45">
        <v>0.19820591347369471</v>
      </c>
      <c r="O31" s="3">
        <v>2234.8888999999999</v>
      </c>
      <c r="P31" s="174">
        <v>11275.591433333333</v>
      </c>
      <c r="Q31" s="39">
        <v>0.63904190500251001</v>
      </c>
      <c r="R31" s="3">
        <v>3757.6571666666664</v>
      </c>
      <c r="S31" s="3">
        <v>5880.1420333333335</v>
      </c>
      <c r="T31" s="39">
        <v>0.97622675340437048</v>
      </c>
      <c r="U31" s="3">
        <v>7436.5672000000004</v>
      </c>
      <c r="V31" s="3">
        <v>7617.6638000000003</v>
      </c>
      <c r="W31" s="63">
        <v>13429.113266666667</v>
      </c>
      <c r="X31" s="7">
        <v>0.54207798478797797</v>
      </c>
      <c r="Y31" s="24">
        <v>24773.397266666667</v>
      </c>
      <c r="Z31" s="25">
        <v>3.4557120366346658E-2</v>
      </c>
      <c r="AA31" s="3">
        <v>24.002333333333336</v>
      </c>
      <c r="AB31" s="3">
        <v>694.56983333333335</v>
      </c>
      <c r="AC31" s="39">
        <v>0.52574369466966642</v>
      </c>
      <c r="AD31" s="3">
        <v>113.7794</v>
      </c>
      <c r="AE31" s="3">
        <v>216.4161</v>
      </c>
      <c r="AF31" s="39">
        <v>0.99727497933715237</v>
      </c>
      <c r="AG31" s="3">
        <v>439.16363333333334</v>
      </c>
      <c r="AH31" s="3">
        <v>440.36363333333333</v>
      </c>
      <c r="AI31" s="63">
        <v>576.9453666666667</v>
      </c>
      <c r="AJ31" s="7">
        <v>0.42694013517893853</v>
      </c>
      <c r="AK31" s="26">
        <v>1351.3495666666668</v>
      </c>
      <c r="AL31" s="93">
        <f t="shared" si="12"/>
        <v>15666.43434879762</v>
      </c>
      <c r="AM31" s="7">
        <f t="shared" si="13"/>
        <v>0.51840219142693855</v>
      </c>
      <c r="AN31" s="3">
        <f t="shared" si="14"/>
        <v>30220.617520297619</v>
      </c>
      <c r="AO31" s="7">
        <f t="shared" si="15"/>
        <v>0.17604071668759058</v>
      </c>
      <c r="AP31" s="7">
        <f t="shared" si="16"/>
        <v>0.64229317756666338</v>
      </c>
      <c r="AQ31" s="94">
        <f t="shared" si="17"/>
        <v>0.97591584992350466</v>
      </c>
    </row>
    <row r="32" spans="1:43" x14ac:dyDescent="0.15">
      <c r="A32" s="177">
        <v>42856</v>
      </c>
      <c r="B32" s="25">
        <v>9.4031449892424124E-2</v>
      </c>
      <c r="C32" s="51">
        <v>173.31960799999999</v>
      </c>
      <c r="D32" s="173">
        <v>1843.2089284838721</v>
      </c>
      <c r="E32" s="25">
        <v>0.6928115228196412</v>
      </c>
      <c r="F32" s="51">
        <v>767.43925806451603</v>
      </c>
      <c r="G32" s="173">
        <v>1107.7172258064516</v>
      </c>
      <c r="H32" s="25">
        <v>0.95563500493917997</v>
      </c>
      <c r="I32" s="51">
        <v>447.50167741935485</v>
      </c>
      <c r="J32" s="173">
        <v>468.27677419354836</v>
      </c>
      <c r="K32" s="63">
        <v>1388.2605434838708</v>
      </c>
      <c r="L32" s="7">
        <v>0.40601876300434947</v>
      </c>
      <c r="M32" s="26">
        <v>3419.2029284838718</v>
      </c>
      <c r="N32" s="45">
        <v>0.19694220969135198</v>
      </c>
      <c r="O32" s="3">
        <v>1995.0638709677419</v>
      </c>
      <c r="P32" s="174">
        <v>10130.199483870969</v>
      </c>
      <c r="Q32" s="39">
        <v>0.65253428776420963</v>
      </c>
      <c r="R32" s="3">
        <v>3357.306129032258</v>
      </c>
      <c r="S32" s="3">
        <v>5145.0263870967738</v>
      </c>
      <c r="T32" s="39">
        <v>0.98015201177879552</v>
      </c>
      <c r="U32" s="3">
        <v>6738.1269354838714</v>
      </c>
      <c r="V32" s="3">
        <v>6874.5733870967742</v>
      </c>
      <c r="W32" s="63">
        <v>12090.496935483872</v>
      </c>
      <c r="X32" s="7">
        <v>0.54585130973960616</v>
      </c>
      <c r="Y32" s="24">
        <v>22149.799258064515</v>
      </c>
      <c r="Z32" s="25">
        <v>3.7462322376919766E-2</v>
      </c>
      <c r="AA32" s="3">
        <v>25.258064516129032</v>
      </c>
      <c r="AB32" s="3">
        <v>674.22580645161293</v>
      </c>
      <c r="AC32" s="39">
        <v>0.51259349717600367</v>
      </c>
      <c r="AD32" s="3">
        <v>108.3225806451613</v>
      </c>
      <c r="AE32" s="3">
        <v>211.32258064516128</v>
      </c>
      <c r="AF32" s="39">
        <v>1</v>
      </c>
      <c r="AG32" s="3">
        <v>416.64516129032256</v>
      </c>
      <c r="AH32" s="3">
        <v>416.64516129032256</v>
      </c>
      <c r="AI32" s="63">
        <v>550.22580645161293</v>
      </c>
      <c r="AJ32" s="7">
        <v>0.42253765358699963</v>
      </c>
      <c r="AK32" s="26">
        <v>1302.1935483870968</v>
      </c>
      <c r="AL32" s="93">
        <f t="shared" si="12"/>
        <v>14028.983285419357</v>
      </c>
      <c r="AM32" s="7">
        <f t="shared" si="13"/>
        <v>0.52208258329122847</v>
      </c>
      <c r="AN32" s="3">
        <f t="shared" si="14"/>
        <v>26871.195734935485</v>
      </c>
      <c r="AO32" s="7">
        <f t="shared" si="15"/>
        <v>0.17344283567451896</v>
      </c>
      <c r="AP32" s="7">
        <f t="shared" si="16"/>
        <v>0.6548614820756089</v>
      </c>
      <c r="AQ32" s="94">
        <f t="shared" si="17"/>
        <v>0.97973817344414504</v>
      </c>
    </row>
    <row r="33" spans="1:43" x14ac:dyDescent="0.15">
      <c r="A33" s="177">
        <v>42826</v>
      </c>
      <c r="B33" s="25">
        <v>0.10051017741599441</v>
      </c>
      <c r="C33" s="51">
        <v>206.11522126666668</v>
      </c>
      <c r="D33" s="173">
        <v>2050.6900551333333</v>
      </c>
      <c r="E33" s="25">
        <v>0.68041083346114672</v>
      </c>
      <c r="F33" s="51">
        <v>752.08753333333334</v>
      </c>
      <c r="G33" s="173">
        <v>1105.3432666666668</v>
      </c>
      <c r="H33" s="25">
        <v>0.95221023408811578</v>
      </c>
      <c r="I33" s="51">
        <v>477.0147</v>
      </c>
      <c r="J33" s="173">
        <v>500.95523333333335</v>
      </c>
      <c r="K33" s="63">
        <v>1435.2174546000001</v>
      </c>
      <c r="L33" s="7">
        <v>0.39245883134782522</v>
      </c>
      <c r="M33" s="26">
        <v>3656.9885551333336</v>
      </c>
      <c r="N33" s="45">
        <f t="shared" ref="N33:N41" si="18">O33/P33</f>
        <v>0.19184937251291823</v>
      </c>
      <c r="O33" s="3">
        <f>SUM('[5]2000-Present'!$E$5,'[5]2000-Present'!$E$6,'[5]2000-Present'!$E$9)/30*0.001</f>
        <v>2167.6582000000003</v>
      </c>
      <c r="P33" s="174">
        <f>SUM('[5]2000-Present'!$E$5,'[5]2000-Present'!$E$6,'[5]2000-Present'!$E$9,'[5]2000-Present'!$I$5,'[5]2000-Present'!$I$6,'[5]2000-Present'!$I$9)/30*0.001</f>
        <v>11298.750533333334</v>
      </c>
      <c r="Q33" s="39">
        <f t="shared" ref="Q33:Q38" si="19">R33/S33</f>
        <v>0.65884045670314828</v>
      </c>
      <c r="R33" s="3">
        <f>'[5]2000-Present'!$E$7/30*0.001</f>
        <v>3301.5445333333332</v>
      </c>
      <c r="S33" s="3">
        <f>SUM('[5]2000-Present'!$E$7,'[5]2000-Present'!$I$7)/30*0.001</f>
        <v>5011.1442000000006</v>
      </c>
      <c r="T33" s="39">
        <f>U33/V33</f>
        <v>0.97945161973544381</v>
      </c>
      <c r="U33" s="3">
        <f>'[5]2000-Present'!$E$8/30*0.001</f>
        <v>6218.3365666666668</v>
      </c>
      <c r="V33" s="3">
        <f>SUM('[5]2000-Present'!$E$8,'[5]2000-Present'!$I$8)/30*0.001</f>
        <v>6348.7939999999999</v>
      </c>
      <c r="W33" s="63">
        <f>+O33+V33+R33</f>
        <v>11817.996733333333</v>
      </c>
      <c r="X33" s="7">
        <f t="shared" ref="X33:X38" si="20">W33/Y33</f>
        <v>0.52156578310499524</v>
      </c>
      <c r="Y33" s="24">
        <f t="shared" ref="Y33:Y38" si="21">+V33+S33+P33</f>
        <v>22658.688733333336</v>
      </c>
      <c r="Z33" s="25">
        <v>3.3440219880897848E-2</v>
      </c>
      <c r="AA33" s="3">
        <v>26.766666666666666</v>
      </c>
      <c r="AB33" s="3">
        <v>800.43333333333328</v>
      </c>
      <c r="AC33" s="39">
        <v>0.51045400238948635</v>
      </c>
      <c r="AD33" s="3">
        <v>113.93333333333334</v>
      </c>
      <c r="AE33" s="3">
        <v>223.2</v>
      </c>
      <c r="AF33" s="39">
        <v>0.99827600361218283</v>
      </c>
      <c r="AG33" s="3">
        <v>405.33333333333331</v>
      </c>
      <c r="AH33" s="3">
        <v>406.03333333333336</v>
      </c>
      <c r="AI33" s="63">
        <v>546.0333333333333</v>
      </c>
      <c r="AJ33" s="7">
        <v>0.38193051993471672</v>
      </c>
      <c r="AK33" s="26">
        <v>1429.6666666666665</v>
      </c>
      <c r="AL33" s="93">
        <f t="shared" ref="AL33:AL38" si="22">+AI33+W33+K33</f>
        <v>13799.247521266667</v>
      </c>
      <c r="AM33" s="7">
        <f t="shared" ref="AM33:AM38" si="23">AL33/AN33</f>
        <v>0.49735362962453322</v>
      </c>
      <c r="AN33" s="3">
        <f t="shared" ref="AN33:AN38" si="24">+AK33+Y33+M33</f>
        <v>27745.343955133336</v>
      </c>
      <c r="AO33" s="7">
        <f t="shared" ref="AO33:AO38" si="25">(+AA33+O33+C33)/(D33+P33+AB33)</f>
        <v>0.16965098778971752</v>
      </c>
      <c r="AP33" s="7">
        <f t="shared" ref="AP33:AP38" si="26">(+AD33+R33+F33)/(G33+S33+AE33)</f>
        <v>0.65737710603441724</v>
      </c>
      <c r="AQ33" s="94">
        <f t="shared" ref="AQ33:AQ38" si="27">(AG33+U33+I33)/(AH33+V33+J33)</f>
        <v>0.97862422623037337</v>
      </c>
    </row>
    <row r="34" spans="1:43" x14ac:dyDescent="0.15">
      <c r="A34" s="177">
        <v>42795</v>
      </c>
      <c r="B34" s="25">
        <f t="shared" ref="B34:B44" si="28">C34/D34</f>
        <v>0.10112359550561799</v>
      </c>
      <c r="C34" s="51">
        <f>[9]BHD!$E$25/7</f>
        <v>267.42857142857144</v>
      </c>
      <c r="D34" s="173">
        <f>[9]BHD!$G$25/7</f>
        <v>2644.5714285714284</v>
      </c>
      <c r="E34" s="25">
        <f t="shared" ref="E34:E44" si="29">F34/G34</f>
        <v>0.67086126869520368</v>
      </c>
      <c r="F34" s="51">
        <f>[9]BHD!$E$26/7</f>
        <v>929.14285714285711</v>
      </c>
      <c r="G34" s="173">
        <f>[9]BHD!$G$26/7</f>
        <v>1385</v>
      </c>
      <c r="H34" s="25">
        <f t="shared" ref="H34:H44" si="30">I34/J34</f>
        <v>0.93622569938359412</v>
      </c>
      <c r="I34" s="51">
        <f>[9]BHD!$E$27/7</f>
        <v>564.14285714285711</v>
      </c>
      <c r="J34" s="173">
        <f>[9]BHD!$G$27/7</f>
        <v>602.57142857142856</v>
      </c>
      <c r="K34" s="63">
        <f t="shared" ref="K34:K39" si="31">SUM(C34+F34+I34)</f>
        <v>1760.7142857142856</v>
      </c>
      <c r="L34" s="7">
        <f t="shared" ref="L34:L39" si="32">K34/M34</f>
        <v>0.38010794140323823</v>
      </c>
      <c r="M34" s="26">
        <f t="shared" ref="M34:M39" si="33">SUM(J34+G34+D34)</f>
        <v>4632.1428571428569</v>
      </c>
      <c r="N34" s="45">
        <f t="shared" si="18"/>
        <v>0.19008642502374334</v>
      </c>
      <c r="O34" s="3">
        <f>SUM('[5]2000-Present'!$E$16,'[5]2000-Present'!$E$17,'[5]2000-Present'!$E$20)/31*0.001</f>
        <v>2503.8125161290322</v>
      </c>
      <c r="P34" s="174">
        <f>SUM('[5]2000-Present'!$E$16,'[5]2000-Present'!$E$17,'[5]2000-Present'!$E$20,'[5]2000-Present'!$I$16,'[5]2000-Present'!$I$17,'[5]2000-Present'!$I$20)/31*0.001</f>
        <v>13171.969096774195</v>
      </c>
      <c r="Q34" s="39">
        <f t="shared" si="19"/>
        <v>0.67951327245220561</v>
      </c>
      <c r="R34" s="3">
        <f>'[5]2000-Present'!$E$18/30*0.001</f>
        <v>3889.7437000000004</v>
      </c>
      <c r="S34" s="3">
        <f>SUM('[5]2000-Present'!$E$18,'[5]2000-Present'!$I$18)/31*0.001</f>
        <v>5724.3086451612908</v>
      </c>
      <c r="T34" s="39">
        <f t="shared" ref="T34:T45" si="34">U34/V34</f>
        <v>0.97858725428091453</v>
      </c>
      <c r="U34" s="3">
        <f>'[5]2000-Present'!$E$19/31*0.001</f>
        <v>7088.6887741935489</v>
      </c>
      <c r="V34" s="3">
        <f>SUM('[5]2000-Present'!$E$19,'[5]2000-Present'!$I$19)/31*0.001</f>
        <v>7243.7983870967737</v>
      </c>
      <c r="W34" s="63">
        <f>+U34+O34+R34</f>
        <v>13482.244990322582</v>
      </c>
      <c r="X34" s="7">
        <f t="shared" si="20"/>
        <v>0.51576915552088387</v>
      </c>
      <c r="Y34" s="24">
        <f t="shared" si="21"/>
        <v>26140.076129032259</v>
      </c>
      <c r="Z34" s="25">
        <f>AA34/AB34</f>
        <v>3.2331494270612292E-2</v>
      </c>
      <c r="AA34" s="3">
        <f>[9]MPD!$C$27/31</f>
        <v>27.032258064516128</v>
      </c>
      <c r="AB34" s="3">
        <f>[9]MPD!$D$27/31</f>
        <v>836.09677419354841</v>
      </c>
      <c r="AC34" s="39">
        <f t="shared" ref="AC34:AC44" si="35">AD34/AE34</f>
        <v>0.50622154779969641</v>
      </c>
      <c r="AD34" s="3">
        <f>[9]MPD!$C$28/31</f>
        <v>107.61290322580645</v>
      </c>
      <c r="AE34" s="3">
        <f>[9]MPD!$D$28/31</f>
        <v>212.58064516129033</v>
      </c>
      <c r="AF34" s="39">
        <f t="shared" ref="AF34:AF44" si="36">AG34/AH34</f>
        <v>0.99992516650452745</v>
      </c>
      <c r="AG34" s="3">
        <f>[9]MPD!$C$29/31</f>
        <v>431.03225806451616</v>
      </c>
      <c r="AH34" s="3">
        <f>[9]MPD!$D$29/31</f>
        <v>431.06451612903226</v>
      </c>
      <c r="AI34" s="63">
        <f>AG34+AD34+AA34</f>
        <v>565.67741935483866</v>
      </c>
      <c r="AJ34" s="7">
        <f>AI34/AK34</f>
        <v>0.382281130101151</v>
      </c>
      <c r="AK34" s="26">
        <f>+AH34+AE34+AB34</f>
        <v>1479.741935483871</v>
      </c>
      <c r="AL34" s="93">
        <f t="shared" si="22"/>
        <v>15808.636695391708</v>
      </c>
      <c r="AM34" s="7">
        <f t="shared" si="23"/>
        <v>0.49016048152208097</v>
      </c>
      <c r="AN34" s="3">
        <f t="shared" si="24"/>
        <v>32251.960921658989</v>
      </c>
      <c r="AO34" s="7">
        <f t="shared" si="25"/>
        <v>0.16803784861750135</v>
      </c>
      <c r="AP34" s="7">
        <f t="shared" si="26"/>
        <v>0.67284539072177318</v>
      </c>
      <c r="AQ34" s="94">
        <f t="shared" si="27"/>
        <v>0.97661468099448112</v>
      </c>
    </row>
    <row r="35" spans="1:43" x14ac:dyDescent="0.15">
      <c r="A35" s="177">
        <v>42767</v>
      </c>
      <c r="B35" s="25">
        <f t="shared" si="28"/>
        <v>9.9117227054394394E-2</v>
      </c>
      <c r="C35" s="51">
        <f>[8]BHD!$E$25/7</f>
        <v>218.14285714285714</v>
      </c>
      <c r="D35" s="173">
        <f>[8]BHD!$G$25/7</f>
        <v>2200.8571428571427</v>
      </c>
      <c r="E35" s="25">
        <f t="shared" si="29"/>
        <v>0.66851494696239155</v>
      </c>
      <c r="F35" s="51">
        <f>[8]BHD!$E$26/7</f>
        <v>792.28571428571433</v>
      </c>
      <c r="G35" s="173">
        <f>[8]BHD!$G$26/7</f>
        <v>1185.1428571428571</v>
      </c>
      <c r="H35" s="25">
        <f t="shared" si="30"/>
        <v>0.96018800110588898</v>
      </c>
      <c r="I35" s="51">
        <f>[8]BHD!$E$27/7</f>
        <v>496.14285714285717</v>
      </c>
      <c r="J35" s="173">
        <f>[8]BHD!$G$27/7</f>
        <v>516.71428571428567</v>
      </c>
      <c r="K35" s="63">
        <f t="shared" si="31"/>
        <v>1506.5714285714287</v>
      </c>
      <c r="L35" s="7">
        <f t="shared" si="32"/>
        <v>0.38603169954976396</v>
      </c>
      <c r="M35" s="26">
        <f t="shared" si="33"/>
        <v>3902.7142857142853</v>
      </c>
      <c r="N35" s="45">
        <f t="shared" si="18"/>
        <v>0.15470141114723368</v>
      </c>
      <c r="O35" s="3">
        <f>SUM('[5]2000-Present'!$E$27,E54,E57)/28*0.001</f>
        <v>1952.8461521948007</v>
      </c>
      <c r="P35" s="174">
        <f>SUM('[5]2000-Present'!$E$27,'[5]2000-Present'!$E$28,'[5]2000-Present'!$E$31,'[5]2000-Present'!$I$27,'[5]2000-Present'!$I$28,'[5]2000-Present'!$I$31)/28*0.001</f>
        <v>12623.32475</v>
      </c>
      <c r="Q35" s="39">
        <f t="shared" si="19"/>
        <v>0.61407891557336791</v>
      </c>
      <c r="R35" s="3">
        <f>'[5]2000-Present'!$E$29/30*0.001</f>
        <v>3181.0364</v>
      </c>
      <c r="S35" s="3">
        <f>SUM('[5]2000-Present'!$E$29,'[5]2000-Present'!$I$29)/28*0.001</f>
        <v>5180.1752500000002</v>
      </c>
      <c r="T35" s="39">
        <f t="shared" si="34"/>
        <v>0.97349507669064628</v>
      </c>
      <c r="U35" s="3">
        <f>'[5]2000-Present'!$E$30/28*0.001</f>
        <v>6024.7023928571425</v>
      </c>
      <c r="V35" s="3">
        <f>SUM('[5]2000-Present'!$E$30,'[5]2000-Present'!$I$30)/28*0.001</f>
        <v>6188.734321428572</v>
      </c>
      <c r="W35" s="63">
        <f>+U35+O35+R35</f>
        <v>11158.584945051942</v>
      </c>
      <c r="X35" s="7">
        <f t="shared" si="20"/>
        <v>0.46509152901552375</v>
      </c>
      <c r="Y35" s="24">
        <f t="shared" si="21"/>
        <v>23992.234321428572</v>
      </c>
      <c r="Z35" s="25">
        <f>AA35/AB35</f>
        <v>3.2593109328372664E-2</v>
      </c>
      <c r="AA35" s="3">
        <f>[8]MPD!$B$27/28</f>
        <v>30.035714285714285</v>
      </c>
      <c r="AB35" s="3">
        <f>[8]MPD!$D$27/28</f>
        <v>921.53571428571433</v>
      </c>
      <c r="AC35" s="39">
        <f t="shared" si="35"/>
        <v>0.51057358053302426</v>
      </c>
      <c r="AD35" s="3">
        <f>[8]MPD!$B$28/28</f>
        <v>125.89285714285714</v>
      </c>
      <c r="AE35" s="3">
        <f>[8]MPD!$D$28/28</f>
        <v>246.57142857142858</v>
      </c>
      <c r="AF35" s="39">
        <f t="shared" si="36"/>
        <v>0.99991799245530588</v>
      </c>
      <c r="AG35" s="3">
        <f>[8]MPD!$B$29/28</f>
        <v>435.46428571428572</v>
      </c>
      <c r="AH35" s="3">
        <f>[8]MPD!$D$29/28</f>
        <v>435.5</v>
      </c>
      <c r="AI35" s="63">
        <f>AG35+AD35+AA35</f>
        <v>591.39285714285722</v>
      </c>
      <c r="AJ35" s="7">
        <f>AI35/AK35</f>
        <v>0.36878911382819984</v>
      </c>
      <c r="AK35" s="26">
        <f>+AH35+AE35+AB35</f>
        <v>1603.6071428571429</v>
      </c>
      <c r="AL35" s="93">
        <f t="shared" si="22"/>
        <v>13256.549230766228</v>
      </c>
      <c r="AM35" s="7">
        <f t="shared" si="23"/>
        <v>0.44939655158426622</v>
      </c>
      <c r="AN35" s="3">
        <f t="shared" si="24"/>
        <v>29498.55575</v>
      </c>
      <c r="AO35" s="7">
        <f t="shared" si="25"/>
        <v>0.13978560892168571</v>
      </c>
      <c r="AP35" s="7">
        <f t="shared" si="26"/>
        <v>0.61997632436031491</v>
      </c>
      <c r="AQ35" s="94">
        <f t="shared" si="27"/>
        <v>0.9741436213048944</v>
      </c>
    </row>
    <row r="36" spans="1:43" x14ac:dyDescent="0.15">
      <c r="A36" s="177">
        <v>42736</v>
      </c>
      <c r="B36" s="25">
        <f t="shared" si="28"/>
        <v>0.10304789550072568</v>
      </c>
      <c r="C36" s="51">
        <f>[6]BHD!$E$25/7</f>
        <v>243.42857142857142</v>
      </c>
      <c r="D36" s="173">
        <f>[6]BHD!$G$25/7</f>
        <v>2362.2857142857142</v>
      </c>
      <c r="E36" s="25">
        <f t="shared" si="29"/>
        <v>0.33701291533281824</v>
      </c>
      <c r="F36" s="51">
        <f>[6]BHD!$F$26/7</f>
        <v>436.14285714285717</v>
      </c>
      <c r="G36" s="173">
        <f>[6]BHD!$G$26/7</f>
        <v>1294.1428571428571</v>
      </c>
      <c r="H36" s="25">
        <f t="shared" si="30"/>
        <v>0.96081081081081077</v>
      </c>
      <c r="I36" s="51">
        <f>[6]BHD!$E$27/7</f>
        <v>507.85714285714283</v>
      </c>
      <c r="J36" s="173">
        <f>[6]BHD!$G$27/7</f>
        <v>528.57142857142856</v>
      </c>
      <c r="K36" s="63">
        <f t="shared" si="31"/>
        <v>1187.4285714285713</v>
      </c>
      <c r="L36" s="7">
        <f t="shared" si="32"/>
        <v>0.28373442566990953</v>
      </c>
      <c r="M36" s="26">
        <f t="shared" si="33"/>
        <v>4185</v>
      </c>
      <c r="N36" s="45">
        <f t="shared" si="18"/>
        <v>0.19939045650263479</v>
      </c>
      <c r="O36" s="3">
        <f>SUM('[5]2000-Present'!$E$38,'[5]2000-Present'!$E$39,'[5]2000-Present'!$E$42)/31*0.001</f>
        <v>2830.6981935483868</v>
      </c>
      <c r="P36" s="174">
        <f>SUM('[5]2000-Present'!$E$38,'[5]2000-Present'!$E$39,'[5]2000-Present'!$E$42,'[5]2000-Present'!$I$38,'[5]2000-Present'!$I$39,'[5]2000-Present'!$I$42)/31*0.001</f>
        <v>14196.758677419355</v>
      </c>
      <c r="Q36" s="39">
        <f t="shared" si="19"/>
        <v>0.6533650357592824</v>
      </c>
      <c r="R36" s="3">
        <f>'[5]2000-Present'!$E$40/31*0.001</f>
        <v>3733.3250322580648</v>
      </c>
      <c r="S36" s="3">
        <f>SUM('[5]2000-Present'!$E$40,'[5]2000-Present'!$I$40)/31*0.001</f>
        <v>5713.9957419354841</v>
      </c>
      <c r="T36" s="39">
        <f t="shared" si="34"/>
        <v>0.97198494863694163</v>
      </c>
      <c r="U36" s="3">
        <f>'[5]2000-Present'!$E$41/31*0.001</f>
        <v>7200.0990645161291</v>
      </c>
      <c r="V36" s="3">
        <f>SUM('[5]2000-Present'!$E$41,'[5]2000-Present'!$I$41)/31*0.001</f>
        <v>7407.6240322580643</v>
      </c>
      <c r="W36" s="63">
        <f>+U36+O36+R36</f>
        <v>13764.122290322581</v>
      </c>
      <c r="X36" s="7">
        <f t="shared" si="20"/>
        <v>0.50384111614464933</v>
      </c>
      <c r="Y36" s="24">
        <f t="shared" si="21"/>
        <v>27318.378451612902</v>
      </c>
      <c r="Z36" s="25">
        <f>AA36/AB36</f>
        <v>3.0681141192824519E-2</v>
      </c>
      <c r="AA36" s="3">
        <f>[6]MPD!$C$27/31</f>
        <v>29.903225806451612</v>
      </c>
      <c r="AB36" s="3">
        <f>[6]MPD!$D$27/31</f>
        <v>974.64516129032256</v>
      </c>
      <c r="AC36" s="39">
        <f t="shared" si="35"/>
        <v>0.50131743170156706</v>
      </c>
      <c r="AD36" s="3">
        <f>[6]MPD!$C$28/31</f>
        <v>116.61290322580645</v>
      </c>
      <c r="AE36" s="3">
        <f>[6]MPD!$D$28/31</f>
        <v>232.61290322580646</v>
      </c>
      <c r="AF36" s="39">
        <f t="shared" si="36"/>
        <v>1</v>
      </c>
      <c r="AG36" s="3">
        <f>[6]MPD!$C$29/31</f>
        <v>429.19354838709677</v>
      </c>
      <c r="AH36" s="3">
        <f>[6]MPD!$D$29/31</f>
        <v>429.19354838709677</v>
      </c>
      <c r="AI36" s="63">
        <f>AG36+AD36+AA36</f>
        <v>575.70967741935476</v>
      </c>
      <c r="AJ36" s="7">
        <f>AI36/AK36</f>
        <v>0.35180366646954458</v>
      </c>
      <c r="AK36" s="26">
        <f>+AH36+AE36+AB36</f>
        <v>1636.4516129032259</v>
      </c>
      <c r="AL36" s="93">
        <f t="shared" si="22"/>
        <v>15527.260539170506</v>
      </c>
      <c r="AM36" s="7">
        <f t="shared" si="23"/>
        <v>0.46853772360758233</v>
      </c>
      <c r="AN36" s="3">
        <f t="shared" si="24"/>
        <v>33139.830064516129</v>
      </c>
      <c r="AO36" s="7">
        <f t="shared" si="25"/>
        <v>0.17703233431854215</v>
      </c>
      <c r="AP36" s="7">
        <f t="shared" si="26"/>
        <v>0.5919386670379192</v>
      </c>
      <c r="AQ36" s="94">
        <f t="shared" si="27"/>
        <v>0.97271624150356217</v>
      </c>
    </row>
    <row r="37" spans="1:43" x14ac:dyDescent="0.15">
      <c r="A37" s="177">
        <v>42705</v>
      </c>
      <c r="B37" s="25">
        <f t="shared" si="28"/>
        <v>0.11391482879660905</v>
      </c>
      <c r="C37" s="51">
        <f>[7]BHD!$E$25/7</f>
        <v>245.71428571428572</v>
      </c>
      <c r="D37" s="173">
        <f>[7]BHD!$F$25/7</f>
        <v>2157</v>
      </c>
      <c r="E37" s="25">
        <f t="shared" si="29"/>
        <v>0.66131498470948014</v>
      </c>
      <c r="F37" s="13">
        <f>[7]BHD!$E$26/7</f>
        <v>865</v>
      </c>
      <c r="G37" s="185">
        <f>[7]BHD!$G$26/7</f>
        <v>1308</v>
      </c>
      <c r="H37" s="25">
        <f t="shared" si="30"/>
        <v>0.95918367346938771</v>
      </c>
      <c r="I37" s="51">
        <f>[7]BHD!$E$27/7</f>
        <v>449.85714285714283</v>
      </c>
      <c r="J37" s="185">
        <f>[7]BHD!$G$27/7</f>
        <v>469</v>
      </c>
      <c r="K37" s="63">
        <f t="shared" si="31"/>
        <v>1560.5714285714287</v>
      </c>
      <c r="L37" s="7">
        <f t="shared" si="32"/>
        <v>0.3966882126516087</v>
      </c>
      <c r="M37" s="26">
        <f t="shared" si="33"/>
        <v>3934</v>
      </c>
      <c r="N37" s="45">
        <f t="shared" si="18"/>
        <v>0.20934312999443361</v>
      </c>
      <c r="O37" s="3">
        <f>SUM('[5]2000-Present'!$E$49,'[5]2000-Present'!$E$50,'[5]2000-Present'!$E$53)/31*0.001</f>
        <v>2699.2584193548387</v>
      </c>
      <c r="P37" s="174">
        <f>SUM('[5]2000-Present'!$E$49,'[5]2000-Present'!$E$50,'[5]2000-Present'!$E$53,'[5]2000-Present'!$I$49,'[5]2000-Present'!$I$50,'[5]2000-Present'!$I$53)/31*0.001</f>
        <v>12893.943161290324</v>
      </c>
      <c r="Q37" s="39">
        <f t="shared" si="19"/>
        <v>0.67289424941689091</v>
      </c>
      <c r="R37" s="3">
        <f>'[5]2000-Present'!$E$51/31*0.001</f>
        <v>3739.898419354839</v>
      </c>
      <c r="S37" s="3">
        <f>SUM('[5]2000-Present'!$E$51,'[5]2000-Present'!$I$51)/31*0.001</f>
        <v>5557.9289354838711</v>
      </c>
      <c r="T37" s="39">
        <f t="shared" si="34"/>
        <v>0.97632209895745015</v>
      </c>
      <c r="U37" s="3">
        <f>'[5]2000-Present'!$E$52/31*0.001</f>
        <v>7089.2843548387091</v>
      </c>
      <c r="V37" s="3">
        <f>SUM('[3]2000-Present'!$E$8,'[3]2000-Present'!$I$8)/31*0.001</f>
        <v>7261.2146774193552</v>
      </c>
      <c r="W37" s="63">
        <f>+U37+O37+R37</f>
        <v>13528.441193548386</v>
      </c>
      <c r="X37" s="7">
        <f t="shared" si="20"/>
        <v>0.52613057748966752</v>
      </c>
      <c r="Y37" s="24">
        <f t="shared" si="21"/>
        <v>25713.086774193551</v>
      </c>
      <c r="Z37" s="25">
        <f>AA37/AB37</f>
        <v>2.8506092785765751E-2</v>
      </c>
      <c r="AA37" s="3">
        <f>910/31</f>
        <v>29.35483870967742</v>
      </c>
      <c r="AB37" s="3">
        <f>31923/31</f>
        <v>1029.7741935483871</v>
      </c>
      <c r="AC37" s="39">
        <f t="shared" si="35"/>
        <v>0.49151529636711283</v>
      </c>
      <c r="AD37" s="3">
        <f>4113/31</f>
        <v>132.67741935483872</v>
      </c>
      <c r="AE37" s="3">
        <f>8368/31</f>
        <v>269.93548387096774</v>
      </c>
      <c r="AF37" s="39">
        <f t="shared" si="36"/>
        <v>1</v>
      </c>
      <c r="AG37" s="3">
        <f>11534/31</f>
        <v>372.06451612903226</v>
      </c>
      <c r="AH37" s="3">
        <f>11534/31</f>
        <v>372.06451612903226</v>
      </c>
      <c r="AI37" s="63">
        <f>AG37+AD37+AA37</f>
        <v>534.09677419354841</v>
      </c>
      <c r="AJ37" s="7">
        <f>AI37/AK37</f>
        <v>0.31947901591895805</v>
      </c>
      <c r="AK37" s="26">
        <f>+AH37+AE37+AB37</f>
        <v>1671.7741935483871</v>
      </c>
      <c r="AL37" s="93">
        <f t="shared" si="22"/>
        <v>15623.109396313364</v>
      </c>
      <c r="AM37" s="7">
        <f t="shared" si="23"/>
        <v>0.49884028069874525</v>
      </c>
      <c r="AN37" s="3">
        <f t="shared" si="24"/>
        <v>31318.860967741937</v>
      </c>
      <c r="AO37" s="7">
        <f t="shared" si="25"/>
        <v>0.18496236692350188</v>
      </c>
      <c r="AP37" s="7">
        <f t="shared" si="26"/>
        <v>0.6639105734492089</v>
      </c>
      <c r="AQ37" s="94">
        <f t="shared" si="27"/>
        <v>0.97641735428277399</v>
      </c>
    </row>
    <row r="38" spans="1:43" x14ac:dyDescent="0.15">
      <c r="A38" s="177">
        <v>42675</v>
      </c>
      <c r="B38" s="25">
        <f t="shared" si="28"/>
        <v>0.10358565737051793</v>
      </c>
      <c r="C38" s="13">
        <v>234</v>
      </c>
      <c r="D38" s="185">
        <v>2259</v>
      </c>
      <c r="E38" s="25">
        <f t="shared" si="29"/>
        <v>0.65734767025089602</v>
      </c>
      <c r="F38" s="13">
        <v>917</v>
      </c>
      <c r="G38" s="185">
        <v>1395</v>
      </c>
      <c r="H38" s="25">
        <f t="shared" si="30"/>
        <v>0.97188049209138838</v>
      </c>
      <c r="I38" s="13">
        <v>553</v>
      </c>
      <c r="J38" s="185">
        <v>569</v>
      </c>
      <c r="K38" s="63">
        <f t="shared" si="31"/>
        <v>1704</v>
      </c>
      <c r="L38" s="7">
        <f t="shared" si="32"/>
        <v>0.40350461757044753</v>
      </c>
      <c r="M38" s="26">
        <f t="shared" si="33"/>
        <v>4223</v>
      </c>
      <c r="N38" s="45">
        <f t="shared" si="18"/>
        <v>0.21483176847240212</v>
      </c>
      <c r="O38" s="3">
        <f>('[2]2000-Present'!$E$5+'[2]2000-Present'!$E$6+'[2]2000-Present'!$E$9)/30*0.001</f>
        <v>2162.0120999999999</v>
      </c>
      <c r="P38" s="174">
        <f>SUM('[2]2000-Present'!$E$5,'[2]2000-Present'!$E$6,'[2]2000-Present'!$E$9,'[2]2000-Present'!$I$5,'[2]2000-Present'!$I$6,'[2]2000-Present'!$I$9)/30*0.001</f>
        <v>10063.744833333334</v>
      </c>
      <c r="Q38" s="39">
        <f t="shared" si="19"/>
        <v>0.67796300439851553</v>
      </c>
      <c r="R38" s="3">
        <f>'[2]2000-Present'!$E$7/30*0.001</f>
        <v>3300.1482000000001</v>
      </c>
      <c r="S38" s="3">
        <f>SUM('[2]2000-Present'!$E$7,'[2]2000-Present'!$I$7)/30*0.001</f>
        <v>4867.7408333333333</v>
      </c>
      <c r="T38" s="39">
        <f t="shared" si="34"/>
        <v>0.98109871792540415</v>
      </c>
      <c r="U38" s="3">
        <f>'[2]2000-Present'!$E$8/30*0.001</f>
        <v>7405.8032000000003</v>
      </c>
      <c r="V38" s="3">
        <f>SUM('[2]2000-Present'!$E$8,'[2]2000-Present'!$I$8)/30*0.001</f>
        <v>7548.4791333333342</v>
      </c>
      <c r="W38" s="63">
        <f>+U38+O38+R38</f>
        <v>12867.9635</v>
      </c>
      <c r="X38" s="7">
        <f t="shared" si="20"/>
        <v>0.57241920147490621</v>
      </c>
      <c r="Y38" s="24">
        <f t="shared" si="21"/>
        <v>22479.964800000002</v>
      </c>
      <c r="Z38" s="25">
        <f t="shared" ref="Z38:Z44" si="37">AA38/AB38</f>
        <v>3.3868426974720575E-2</v>
      </c>
      <c r="AA38" s="3">
        <f>903/30</f>
        <v>30.1</v>
      </c>
      <c r="AB38" s="3">
        <f>26662/30</f>
        <v>888.73333333333335</v>
      </c>
      <c r="AC38" s="39">
        <f t="shared" si="35"/>
        <v>0.52125786163522014</v>
      </c>
      <c r="AD38" s="3">
        <f>4144/30</f>
        <v>138.13333333333333</v>
      </c>
      <c r="AE38" s="3">
        <v>265</v>
      </c>
      <c r="AF38" s="39">
        <f t="shared" si="36"/>
        <v>0.99490435218444573</v>
      </c>
      <c r="AG38" s="3">
        <f>11910/30</f>
        <v>397</v>
      </c>
      <c r="AH38" s="3">
        <f>11971/30</f>
        <v>399.03333333333336</v>
      </c>
      <c r="AI38" s="63">
        <f>AG38+AD38+AA38</f>
        <v>565.23333333333335</v>
      </c>
      <c r="AJ38" s="7">
        <f>AI38/AK38</f>
        <v>0.36401691604233305</v>
      </c>
      <c r="AK38" s="26">
        <f>+AH38+AE38+AB38</f>
        <v>1552.7666666666667</v>
      </c>
      <c r="AL38" s="93">
        <f t="shared" si="22"/>
        <v>15137.196833333333</v>
      </c>
      <c r="AM38" s="7">
        <f t="shared" si="23"/>
        <v>0.53572128724364154</v>
      </c>
      <c r="AN38" s="3">
        <f t="shared" si="24"/>
        <v>28255.731466666668</v>
      </c>
      <c r="AO38" s="7">
        <f t="shared" si="25"/>
        <v>0.18363668844575035</v>
      </c>
      <c r="AP38" s="7">
        <f t="shared" si="26"/>
        <v>0.66719584072539639</v>
      </c>
      <c r="AQ38" s="94">
        <f t="shared" si="27"/>
        <v>0.98112968573748027</v>
      </c>
    </row>
    <row r="39" spans="1:43" x14ac:dyDescent="0.15">
      <c r="A39" s="177">
        <v>42644</v>
      </c>
      <c r="B39" s="25">
        <f t="shared" si="28"/>
        <v>0.10320781032078104</v>
      </c>
      <c r="C39" s="13">
        <v>222</v>
      </c>
      <c r="D39" s="185">
        <v>2151</v>
      </c>
      <c r="E39" s="25">
        <f t="shared" si="29"/>
        <v>0.65600624024960996</v>
      </c>
      <c r="F39" s="13">
        <v>841</v>
      </c>
      <c r="G39" s="185">
        <v>1282</v>
      </c>
      <c r="H39" s="25">
        <f t="shared" si="30"/>
        <v>0.97740112994350281</v>
      </c>
      <c r="I39" s="13">
        <v>519</v>
      </c>
      <c r="J39" s="185">
        <v>531</v>
      </c>
      <c r="K39" s="63">
        <f t="shared" si="31"/>
        <v>1582</v>
      </c>
      <c r="L39" s="7">
        <f t="shared" si="32"/>
        <v>0.3990918264379415</v>
      </c>
      <c r="M39" s="26">
        <f t="shared" si="33"/>
        <v>3964</v>
      </c>
      <c r="N39" s="45">
        <f t="shared" si="18"/>
        <v>0.269803299870359</v>
      </c>
      <c r="O39" s="3">
        <f>SUM('[1]2000-Present'!$E$5,'[1]2000-Present'!$E$6,'[1]2000-Present'!$E$9)/31*0.001</f>
        <v>2614.2761935483868</v>
      </c>
      <c r="P39" s="174">
        <f>SUM('[1]2000-Present'!$E$5,'[1]2000-Present'!$E$6,'[1]2000-Present'!$E$9,'[1]2000-Present'!$I$5,'[1]2000-Present'!$I$6,'[1]2000-Present'!$I$9)/31*0.001</f>
        <v>9689.563451612903</v>
      </c>
      <c r="Q39" s="39">
        <f t="shared" ref="Q39:Q45" si="38">R39/S39</f>
        <v>0.66770641438777523</v>
      </c>
      <c r="R39" s="3">
        <f>'[1]2000-Present'!$E$7/31*0.001</f>
        <v>3411.0799677419354</v>
      </c>
      <c r="S39" s="3">
        <f>SUM('[1]2000-Present'!$E$7,'[1]2000-Present'!$I$7)/31*0.001</f>
        <v>5108.652387096774</v>
      </c>
      <c r="T39" s="39">
        <f t="shared" si="34"/>
        <v>0.97938839527054389</v>
      </c>
      <c r="U39" s="3">
        <f>'[1]2000-Present'!$E$8/31*0.001</f>
        <v>7383.1116774193551</v>
      </c>
      <c r="V39" s="3">
        <f>SUM('[1]2000-Present'!$E$8,'[1]2000-Present'!$I$8)/31*0.001</f>
        <v>7538.4920967741937</v>
      </c>
      <c r="W39" s="63">
        <f t="shared" ref="W39:W45" si="39">+U39+O39+R39</f>
        <v>13408.467838709676</v>
      </c>
      <c r="X39" s="7">
        <f t="shared" ref="X39:X45" si="40">W39/Y39</f>
        <v>0.60028845241823292</v>
      </c>
      <c r="Y39" s="24">
        <f t="shared" ref="Y39:Y45" si="41">+V39+S39+P39</f>
        <v>22336.707935483872</v>
      </c>
      <c r="Z39" s="25">
        <f t="shared" si="37"/>
        <v>4.5185081454511507E-2</v>
      </c>
      <c r="AA39" s="3">
        <f>968/31</f>
        <v>31.225806451612904</v>
      </c>
      <c r="AB39" s="3">
        <f>21423/31</f>
        <v>691.06451612903231</v>
      </c>
      <c r="AC39" s="39">
        <f t="shared" si="35"/>
        <v>0.53528340541771002</v>
      </c>
      <c r="AD39" s="3">
        <f>4703/31</f>
        <v>151.70967741935485</v>
      </c>
      <c r="AE39" s="3">
        <f>8786/31</f>
        <v>283.41935483870969</v>
      </c>
      <c r="AF39" s="39">
        <f t="shared" si="36"/>
        <v>0.99093745357302032</v>
      </c>
      <c r="AG39" s="3">
        <f>26680/31</f>
        <v>860.64516129032256</v>
      </c>
      <c r="AH39" s="3">
        <f>26924/31</f>
        <v>868.51612903225805</v>
      </c>
      <c r="AI39" s="63">
        <f t="shared" ref="AI39:AI44" si="42">AG39+AD39+AA39</f>
        <v>1043.5806451612902</v>
      </c>
      <c r="AJ39" s="7">
        <f t="shared" ref="AJ39:AJ44" si="43">AI39/AK39</f>
        <v>0.56624017643043423</v>
      </c>
      <c r="AK39" s="26">
        <f t="shared" ref="AK39:AK44" si="44">+AH39+AE39+AB39</f>
        <v>1843</v>
      </c>
      <c r="AL39" s="93">
        <f t="shared" ref="AL39:AL45" si="45">+AI39+W39+K39</f>
        <v>16034.048483870965</v>
      </c>
      <c r="AM39" s="7">
        <f t="shared" ref="AM39:AM45" si="46">AL39/AN39</f>
        <v>0.5697205400449411</v>
      </c>
      <c r="AN39" s="3">
        <f t="shared" ref="AN39:AN45" si="47">+AK39+Y39+M39</f>
        <v>28143.707935483872</v>
      </c>
      <c r="AO39" s="7">
        <f t="shared" ref="AO39:AO45" si="48">(+AA39+O39+C39)/(D39+P39+AB39)</f>
        <v>0.22882118806761007</v>
      </c>
      <c r="AP39" s="7">
        <f t="shared" ref="AP39:AP45" si="49">(+AD39+R39+F39)/(G39+S39+AE39)</f>
        <v>0.65983552701280823</v>
      </c>
      <c r="AQ39" s="94">
        <f t="shared" ref="AQ39:AQ45" si="50">(AG39+U39+I39)/(AH39+V39+J39)</f>
        <v>0.98039256815732434</v>
      </c>
    </row>
    <row r="40" spans="1:43" x14ac:dyDescent="0.15">
      <c r="A40" s="177">
        <v>42614</v>
      </c>
      <c r="B40" s="25">
        <f t="shared" si="28"/>
        <v>0.10607569721115538</v>
      </c>
      <c r="C40" s="190">
        <v>213</v>
      </c>
      <c r="D40" s="191">
        <v>2008</v>
      </c>
      <c r="E40" s="45">
        <f t="shared" si="29"/>
        <v>0.64352574102964122</v>
      </c>
      <c r="F40" s="190">
        <v>825</v>
      </c>
      <c r="G40" s="191">
        <v>1282</v>
      </c>
      <c r="H40" s="45">
        <f t="shared" si="30"/>
        <v>0.47194244604316549</v>
      </c>
      <c r="I40" s="190">
        <v>328</v>
      </c>
      <c r="J40" s="191">
        <v>695</v>
      </c>
      <c r="K40" s="63">
        <f t="shared" ref="K40:K45" si="51">SUM(C40+F40+I40)</f>
        <v>1366</v>
      </c>
      <c r="L40" s="7">
        <f t="shared" ref="L40:L45" si="52">K40/M40</f>
        <v>0.34278544542032624</v>
      </c>
      <c r="M40" s="26">
        <f t="shared" ref="M40:M45" si="53">SUM(J40+G40+D40)</f>
        <v>3985</v>
      </c>
      <c r="N40" s="45">
        <f t="shared" si="18"/>
        <v>0.20836761809520685</v>
      </c>
      <c r="O40" s="3">
        <f>SUM('[1]2000-Present'!$E$16,'[1]2000-Present'!$E$17,'[1]2000-Present'!$E$20)/30*0.001</f>
        <v>2605.8710333333333</v>
      </c>
      <c r="P40" s="174">
        <f>SUM('[1]2000-Present'!$E$16,'[1]2000-Present'!$E$17,'[1]2000-Present'!$E$20,'[1]2000-Present'!$I$16,'[1]2000-Present'!$I$17,'[1]2000-Present'!$I$20)/30*0.001</f>
        <v>12506.122866666667</v>
      </c>
      <c r="Q40" s="39">
        <f t="shared" si="38"/>
        <v>0.65102713374117005</v>
      </c>
      <c r="R40" s="3">
        <f>'[4]2000-Present'!$E$40/30*0.001</f>
        <v>4175.0526333333337</v>
      </c>
      <c r="S40" s="3">
        <f>SUM('[4]2000-Present'!$E$40,'[4]2000-Present'!$I$40)/30*0.001</f>
        <v>6413.0240000000003</v>
      </c>
      <c r="T40" s="39">
        <f t="shared" si="34"/>
        <v>0.97739697514959611</v>
      </c>
      <c r="U40" s="3">
        <f>'[1]2000-Present'!$E$19/30*0.001</f>
        <v>8240.8171999999995</v>
      </c>
      <c r="V40" s="3">
        <f>SUM('[1]2000-Present'!$E$19,'[1]2000-Present'!$I$19)/30*0.001</f>
        <v>8431.3921666666665</v>
      </c>
      <c r="W40" s="63">
        <f t="shared" si="39"/>
        <v>15021.740866666667</v>
      </c>
      <c r="X40" s="7">
        <f t="shared" si="40"/>
        <v>0.54923015770764128</v>
      </c>
      <c r="Y40" s="24">
        <f t="shared" si="41"/>
        <v>27350.539033333334</v>
      </c>
      <c r="Z40" s="25">
        <f t="shared" si="37"/>
        <v>3.235675876135731E-2</v>
      </c>
      <c r="AA40" s="3">
        <f>698/30</f>
        <v>23.266666666666666</v>
      </c>
      <c r="AB40" s="3">
        <f>21572/30</f>
        <v>719.06666666666672</v>
      </c>
      <c r="AC40" s="39">
        <f t="shared" si="35"/>
        <v>0.53002762832630512</v>
      </c>
      <c r="AD40" s="3">
        <f>3645/30</f>
        <v>121.5</v>
      </c>
      <c r="AE40" s="3">
        <f>6877/30</f>
        <v>229.23333333333332</v>
      </c>
      <c r="AF40" s="39">
        <f t="shared" si="36"/>
        <v>0.98891645988420185</v>
      </c>
      <c r="AG40" s="3">
        <f>11956/30</f>
        <v>398.53333333333336</v>
      </c>
      <c r="AH40" s="185">
        <f>12090/30</f>
        <v>403</v>
      </c>
      <c r="AI40" s="63">
        <f t="shared" si="42"/>
        <v>543.29999999999995</v>
      </c>
      <c r="AJ40" s="7">
        <f t="shared" si="43"/>
        <v>0.40205727817657061</v>
      </c>
      <c r="AK40" s="26">
        <f t="shared" si="44"/>
        <v>1351.3000000000002</v>
      </c>
      <c r="AL40" s="93">
        <f t="shared" si="45"/>
        <v>16931.040866666666</v>
      </c>
      <c r="AM40" s="7">
        <f t="shared" si="46"/>
        <v>0.51797730730098301</v>
      </c>
      <c r="AN40" s="3">
        <f t="shared" si="47"/>
        <v>32686.839033333334</v>
      </c>
      <c r="AO40" s="7">
        <f t="shared" si="48"/>
        <v>0.18657535204829045</v>
      </c>
      <c r="AP40" s="7">
        <f t="shared" si="49"/>
        <v>0.64631326544502254</v>
      </c>
      <c r="AQ40" s="94">
        <f t="shared" si="50"/>
        <v>0.94102020113105145</v>
      </c>
    </row>
    <row r="41" spans="1:43" x14ac:dyDescent="0.15">
      <c r="A41" s="177">
        <v>42583</v>
      </c>
      <c r="B41" s="25">
        <f t="shared" si="28"/>
        <v>0.10689045936395759</v>
      </c>
      <c r="C41" s="190">
        <v>242</v>
      </c>
      <c r="D41" s="191">
        <v>2264</v>
      </c>
      <c r="E41" s="45">
        <f t="shared" si="29"/>
        <v>0.6534320323014805</v>
      </c>
      <c r="F41" s="190">
        <v>971</v>
      </c>
      <c r="G41" s="191">
        <v>1486</v>
      </c>
      <c r="H41" s="45">
        <f t="shared" si="30"/>
        <v>0.97211660329531047</v>
      </c>
      <c r="I41" s="190">
        <v>767</v>
      </c>
      <c r="J41" s="191">
        <v>789</v>
      </c>
      <c r="K41" s="63">
        <f t="shared" si="51"/>
        <v>1980</v>
      </c>
      <c r="L41" s="7">
        <f t="shared" si="52"/>
        <v>0.43621943159286186</v>
      </c>
      <c r="M41" s="26">
        <f t="shared" si="53"/>
        <v>4539</v>
      </c>
      <c r="N41" s="45">
        <f t="shared" si="18"/>
        <v>0.28376113863141667</v>
      </c>
      <c r="O41" s="3">
        <f>SUM('[1]2000-Present'!$E$27,'[1]2000-Present'!$E$28,'[1]2000-Present'!$E$31)/31*0.001</f>
        <v>3691.851419354839</v>
      </c>
      <c r="P41" s="174">
        <f>SUM('[1]2000-Present'!$E$27,'[1]2000-Present'!$E$28,'[1]2000-Present'!$E$31,'[1]2000-Present'!$I$27,'[1]2000-Present'!$I$28,'[1]2000-Present'!$I$31)/31*0.001</f>
        <v>13010.419387096774</v>
      </c>
      <c r="Q41" s="39">
        <f t="shared" si="38"/>
        <v>0.64020288091859556</v>
      </c>
      <c r="R41" s="3">
        <f>'[1]2000-Present'!$E$29/31*0.001</f>
        <v>4151.3323870967743</v>
      </c>
      <c r="S41" s="3">
        <f>SUM('[1]2000-Present'!$E$29,'[1]2000-Present'!$I$29)/31*0.001</f>
        <v>6484.4012903225803</v>
      </c>
      <c r="T41" s="39">
        <f t="shared" si="34"/>
        <v>0.97721133655431747</v>
      </c>
      <c r="U41" s="3">
        <f>'[1]2000-Present'!$E$30/31*0.001</f>
        <v>8194.0426129032257</v>
      </c>
      <c r="V41" s="3">
        <f>SUM('[1]2000-Present'!$E$30,'[1]2000-Present'!$I$30)/31*0.001</f>
        <v>8385.1284838709671</v>
      </c>
      <c r="W41" s="63">
        <f t="shared" si="39"/>
        <v>16037.226419354838</v>
      </c>
      <c r="X41" s="7">
        <f t="shared" si="40"/>
        <v>0.57522437815710181</v>
      </c>
      <c r="Y41" s="24">
        <f t="shared" si="41"/>
        <v>27879.949161290322</v>
      </c>
      <c r="Z41" s="25">
        <f t="shared" si="37"/>
        <v>3.5431412200876311E-2</v>
      </c>
      <c r="AA41" s="3">
        <v>27.129032258064516</v>
      </c>
      <c r="AB41" s="3">
        <f>23736/31</f>
        <v>765.67741935483866</v>
      </c>
      <c r="AC41" s="39">
        <f t="shared" si="35"/>
        <v>0.50690655832849685</v>
      </c>
      <c r="AD41" s="3">
        <f>4367/31</f>
        <v>140.87096774193549</v>
      </c>
      <c r="AE41" s="3">
        <f>8615/31</f>
        <v>277.90322580645159</v>
      </c>
      <c r="AF41" s="39">
        <f t="shared" si="36"/>
        <v>0.99949268622643106</v>
      </c>
      <c r="AG41" s="3">
        <f>11821/31</f>
        <v>381.32258064516128</v>
      </c>
      <c r="AH41" s="3">
        <f>11827/31</f>
        <v>381.51612903225805</v>
      </c>
      <c r="AI41" s="63">
        <f t="shared" si="42"/>
        <v>549.32258064516134</v>
      </c>
      <c r="AJ41" s="7">
        <f t="shared" si="43"/>
        <v>0.3854633528000363</v>
      </c>
      <c r="AK41" s="26">
        <f t="shared" si="44"/>
        <v>1425.0967741935483</v>
      </c>
      <c r="AL41" s="93">
        <f t="shared" si="45"/>
        <v>18566.548999999999</v>
      </c>
      <c r="AM41" s="7">
        <f t="shared" si="46"/>
        <v>0.54859129536087348</v>
      </c>
      <c r="AN41" s="3">
        <f t="shared" si="47"/>
        <v>33844.045935483868</v>
      </c>
      <c r="AO41" s="7">
        <f t="shared" si="48"/>
        <v>0.24694242805440716</v>
      </c>
      <c r="AP41" s="7">
        <f t="shared" si="49"/>
        <v>0.63809517999085175</v>
      </c>
      <c r="AQ41" s="94">
        <f t="shared" si="50"/>
        <v>0.97768026878408165</v>
      </c>
    </row>
    <row r="42" spans="1:43" x14ac:dyDescent="0.15">
      <c r="A42" s="177">
        <v>42552</v>
      </c>
      <c r="B42" s="25">
        <f t="shared" si="28"/>
        <v>0.10337552742616034</v>
      </c>
      <c r="C42" s="13">
        <v>245</v>
      </c>
      <c r="D42" s="185">
        <v>2370</v>
      </c>
      <c r="E42" s="25">
        <f t="shared" si="29"/>
        <v>0.66476810414971521</v>
      </c>
      <c r="F42" s="13">
        <v>817</v>
      </c>
      <c r="G42" s="185">
        <v>1229</v>
      </c>
      <c r="H42" s="25">
        <f t="shared" si="30"/>
        <v>0.95317220543806647</v>
      </c>
      <c r="I42" s="13">
        <v>631</v>
      </c>
      <c r="J42" s="185">
        <v>662</v>
      </c>
      <c r="K42" s="63">
        <f t="shared" si="51"/>
        <v>1693</v>
      </c>
      <c r="L42" s="7">
        <f t="shared" si="52"/>
        <v>0.39732457169678481</v>
      </c>
      <c r="M42" s="26">
        <f t="shared" si="53"/>
        <v>4261</v>
      </c>
      <c r="N42" s="45">
        <f>O43/P42</f>
        <v>0.21604522888871475</v>
      </c>
      <c r="O42" s="3">
        <f>SUM('[1]2000-Present'!$E$38,'[1]2000-Present'!$E$39,'[1]2000-Present'!$E$42)/31*0.001</f>
        <v>2494.0666451612901</v>
      </c>
      <c r="P42" s="174">
        <f>SUM('[1]2000-Present'!$E$38,'[1]2000-Present'!$E$39,'[1]2000-Present'!$E$42,'[1]2000-Present'!$I$38,'[1]2000-Present'!$I$39,'[1]2000-Present'!$I$42)/31*0.001</f>
        <v>11152.147225806453</v>
      </c>
      <c r="Q42" s="39">
        <f t="shared" si="38"/>
        <v>0.64979990370446372</v>
      </c>
      <c r="R42" s="3">
        <f>'[1]2000-Present'!$E$40/31*0.001</f>
        <v>3714.1291612903224</v>
      </c>
      <c r="S42" s="3">
        <f>SUM('[1]2000-Present'!$E$40,'[1]2000-Present'!$I$40)/31*0.001</f>
        <v>5715.8044193548385</v>
      </c>
      <c r="T42" s="39">
        <f t="shared" si="34"/>
        <v>0.97847168121181338</v>
      </c>
      <c r="U42" s="3">
        <f>'[1]2000-Present'!$E$41/31*0.001</f>
        <v>6863.3632903225807</v>
      </c>
      <c r="V42" s="3">
        <f>SUM('[1]2000-Present'!$E$41,'[1]2000-Present'!$I$41)/31*0.001</f>
        <v>7014.3709032258066</v>
      </c>
      <c r="W42" s="63">
        <f t="shared" si="39"/>
        <v>13071.559096774194</v>
      </c>
      <c r="X42" s="7">
        <f t="shared" si="40"/>
        <v>0.54733198876660283</v>
      </c>
      <c r="Y42" s="24">
        <f t="shared" si="41"/>
        <v>23882.322548387099</v>
      </c>
      <c r="Z42" s="25">
        <f t="shared" si="37"/>
        <v>2.004230755440823E-2</v>
      </c>
      <c r="AA42" s="3">
        <f>559/31</f>
        <v>18.032258064516128</v>
      </c>
      <c r="AB42" s="3">
        <f>27891/31</f>
        <v>899.70967741935488</v>
      </c>
      <c r="AC42" s="39">
        <f t="shared" si="35"/>
        <v>0.43591240875912413</v>
      </c>
      <c r="AD42" s="3">
        <f>2986/31</f>
        <v>96.322580645161295</v>
      </c>
      <c r="AE42" s="3">
        <f>6850/31</f>
        <v>220.96774193548387</v>
      </c>
      <c r="AF42" s="39">
        <f t="shared" si="36"/>
        <v>0.9662845583277142</v>
      </c>
      <c r="AG42" s="3">
        <f>11464/31</f>
        <v>369.80645161290323</v>
      </c>
      <c r="AH42" s="3">
        <f>11864/31</f>
        <v>382.70967741935482</v>
      </c>
      <c r="AI42" s="63">
        <f t="shared" si="42"/>
        <v>484.16129032258061</v>
      </c>
      <c r="AJ42" s="7">
        <f t="shared" si="43"/>
        <v>0.32204699066623749</v>
      </c>
      <c r="AK42" s="26">
        <f t="shared" si="44"/>
        <v>1503.3870967741937</v>
      </c>
      <c r="AL42" s="93">
        <f t="shared" si="45"/>
        <v>15248.720387096775</v>
      </c>
      <c r="AM42" s="7">
        <f t="shared" si="46"/>
        <v>0.51434781699579113</v>
      </c>
      <c r="AN42" s="3">
        <f t="shared" si="47"/>
        <v>29646.709645161292</v>
      </c>
      <c r="AO42" s="7">
        <f>(+AA42+O43+C42)/(D42+P42+AB42)</f>
        <v>0.1853021061016607</v>
      </c>
      <c r="AP42" s="7">
        <f t="shared" si="49"/>
        <v>0.64577154251890556</v>
      </c>
      <c r="AQ42" s="94">
        <f t="shared" si="50"/>
        <v>0.97581475495135528</v>
      </c>
    </row>
    <row r="43" spans="1:43" x14ac:dyDescent="0.15">
      <c r="A43" s="177">
        <v>42522</v>
      </c>
      <c r="B43" s="25">
        <f t="shared" si="28"/>
        <v>0.10346339324857519</v>
      </c>
      <c r="C43" s="13">
        <f>236</f>
        <v>236</v>
      </c>
      <c r="D43" s="185">
        <v>2281</v>
      </c>
      <c r="E43" s="25">
        <f t="shared" si="29"/>
        <v>0.66714183891660728</v>
      </c>
      <c r="F43" s="13">
        <v>936</v>
      </c>
      <c r="G43" s="185">
        <v>1403</v>
      </c>
      <c r="H43" s="25">
        <f t="shared" si="30"/>
        <v>0.97045101088646968</v>
      </c>
      <c r="I43" s="13">
        <v>624</v>
      </c>
      <c r="J43" s="185">
        <v>643</v>
      </c>
      <c r="K43" s="63">
        <f t="shared" si="51"/>
        <v>1796</v>
      </c>
      <c r="L43" s="7">
        <f t="shared" si="52"/>
        <v>0.41506817656574996</v>
      </c>
      <c r="M43" s="26">
        <f t="shared" si="53"/>
        <v>4327</v>
      </c>
      <c r="N43" s="45">
        <f>O43/P43</f>
        <v>0.23397559373361057</v>
      </c>
      <c r="O43" s="3">
        <f>SUM('[1]2000-Present'!$E$49,'[1]2000-Present'!$E$50,'[1]2000-Present'!$E$53)/30*0.001</f>
        <v>2409.3682000000003</v>
      </c>
      <c r="P43" s="174">
        <f>SUM('[1]2000-Present'!$E$49,'[1]2000-Present'!$E$50,'[1]2000-Present'!$E$53,'[1]2000-Present'!$I$49,'[1]2000-Present'!$I$50,'[1]2000-Present'!$I$53)/30*0.001</f>
        <v>10297.519333333334</v>
      </c>
      <c r="Q43" s="39">
        <f t="shared" si="38"/>
        <v>0.66563153925269636</v>
      </c>
      <c r="R43" s="3">
        <f>'[1]2000-Present'!$E$51/30*0.001</f>
        <v>3692.3106000000002</v>
      </c>
      <c r="S43" s="3">
        <f>SUM('[1]2000-Present'!$E$51,'[1]2000-Present'!$I$51)/30*0.001</f>
        <v>5547.0788000000002</v>
      </c>
      <c r="T43" s="39">
        <f t="shared" si="34"/>
        <v>0.98120107181365468</v>
      </c>
      <c r="U43" s="3">
        <f>'[1]2000-Present'!$E$52/30*0.001</f>
        <v>7893.4750000000004</v>
      </c>
      <c r="V43" s="3">
        <f>SUM('[1]2000-Present'!$E$52,'[1]2000-Present'!$I$52)/30*0.001</f>
        <v>8044.7068666666664</v>
      </c>
      <c r="W43" s="63">
        <f t="shared" si="39"/>
        <v>13995.153800000002</v>
      </c>
      <c r="X43" s="7">
        <f t="shared" si="40"/>
        <v>0.58583344304072482</v>
      </c>
      <c r="Y43" s="24">
        <f t="shared" si="41"/>
        <v>23889.305</v>
      </c>
      <c r="Z43" s="25">
        <f t="shared" si="37"/>
        <v>2.3679952934255042E-2</v>
      </c>
      <c r="AA43" s="4">
        <f>483/30</f>
        <v>16.100000000000001</v>
      </c>
      <c r="AB43" s="4">
        <f>20397/30</f>
        <v>679.9</v>
      </c>
      <c r="AC43" s="39">
        <f t="shared" si="35"/>
        <v>0.50242204056917961</v>
      </c>
      <c r="AD43" s="3">
        <f>3319/30</f>
        <v>110.63333333333334</v>
      </c>
      <c r="AE43" s="3">
        <f>6606/30</f>
        <v>220.2</v>
      </c>
      <c r="AF43" s="39">
        <f t="shared" si="36"/>
        <v>0.97174329501915702</v>
      </c>
      <c r="AG43" s="4">
        <f>12174/30</f>
        <v>405.8</v>
      </c>
      <c r="AH43" s="3">
        <f>12528/30</f>
        <v>417.6</v>
      </c>
      <c r="AI43" s="63">
        <f t="shared" si="42"/>
        <v>532.53333333333342</v>
      </c>
      <c r="AJ43" s="7">
        <f t="shared" si="43"/>
        <v>0.40413852419620055</v>
      </c>
      <c r="AK43" s="26">
        <f t="shared" si="44"/>
        <v>1317.6999999999998</v>
      </c>
      <c r="AL43" s="93">
        <f t="shared" si="45"/>
        <v>16323.687133333335</v>
      </c>
      <c r="AM43" s="7">
        <f t="shared" si="46"/>
        <v>0.55270821323871699</v>
      </c>
      <c r="AN43" s="3">
        <f t="shared" si="47"/>
        <v>29534.005000000001</v>
      </c>
      <c r="AO43" s="7">
        <f>(+AA43+O44+C43)/(D43+P43+AB43)</f>
        <v>0.18382930413675758</v>
      </c>
      <c r="AP43" s="7">
        <f t="shared" si="49"/>
        <v>0.6609148773034228</v>
      </c>
      <c r="AQ43" s="94">
        <f t="shared" si="50"/>
        <v>0.98000815685487097</v>
      </c>
    </row>
    <row r="44" spans="1:43" s="184" customFormat="1" x14ac:dyDescent="0.15">
      <c r="A44" s="189">
        <v>42491</v>
      </c>
      <c r="B44" s="45">
        <f t="shared" si="28"/>
        <v>0.10132966529115085</v>
      </c>
      <c r="C44" s="190">
        <v>221</v>
      </c>
      <c r="D44" s="191">
        <v>2181</v>
      </c>
      <c r="E44" s="45">
        <f t="shared" si="29"/>
        <v>0.66059225512528474</v>
      </c>
      <c r="F44" s="190">
        <v>870</v>
      </c>
      <c r="G44" s="191">
        <v>1317</v>
      </c>
      <c r="H44" s="45">
        <f t="shared" si="30"/>
        <v>0.98148148148148151</v>
      </c>
      <c r="I44" s="190">
        <v>583</v>
      </c>
      <c r="J44" s="191">
        <v>594</v>
      </c>
      <c r="K44" s="66">
        <f t="shared" si="51"/>
        <v>1674</v>
      </c>
      <c r="L44" s="67">
        <f t="shared" si="52"/>
        <v>0.40909090909090912</v>
      </c>
      <c r="M44" s="85">
        <f t="shared" si="53"/>
        <v>4092</v>
      </c>
      <c r="N44" s="45">
        <f>O44/P44</f>
        <v>0.22051289227848597</v>
      </c>
      <c r="O44" s="3">
        <f>(54491616+13180199+68951)/31*0.001</f>
        <v>2185.1860000000001</v>
      </c>
      <c r="P44" s="174">
        <f>(54491616+13180199+68951+208460252+30250329+745050)/31*0.001</f>
        <v>9909.5611935483867</v>
      </c>
      <c r="Q44" s="39">
        <f t="shared" si="38"/>
        <v>0.67532329940498514</v>
      </c>
      <c r="R44" s="3">
        <f>'[1]2000-Present'!$E$62/31*0.001</f>
        <v>3347.0890967741934</v>
      </c>
      <c r="S44" s="3">
        <f>('[1]2000-Present'!$E$62+'[1]2000-Present'!$I$62)/31*0.001</f>
        <v>4956.2766451612906</v>
      </c>
      <c r="T44" s="39">
        <f t="shared" si="34"/>
        <v>0.96234892157007823</v>
      </c>
      <c r="U44" s="3">
        <f>'[1]2000-Present'!$E$63/31*0.001</f>
        <v>7104.9633225806447</v>
      </c>
      <c r="V44" s="3">
        <f>SUM('[1]2000-Present'!$E$63,'[1]2000-Present'!$I$63)/31*0.001</f>
        <v>7382.9389354838713</v>
      </c>
      <c r="W44" s="63">
        <f t="shared" si="39"/>
        <v>12637.238419354839</v>
      </c>
      <c r="X44" s="7">
        <f t="shared" si="40"/>
        <v>0.56799699810970394</v>
      </c>
      <c r="Y44" s="24">
        <f t="shared" si="41"/>
        <v>22248.776774193549</v>
      </c>
      <c r="Z44" s="45">
        <f t="shared" si="37"/>
        <v>2.4978089395267307E-2</v>
      </c>
      <c r="AA44" s="4">
        <f>513/31</f>
        <v>16.548387096774192</v>
      </c>
      <c r="AB44" s="4">
        <f>20538/31</f>
        <v>662.51612903225805</v>
      </c>
      <c r="AC44" s="39">
        <f t="shared" si="35"/>
        <v>0.46218978102189778</v>
      </c>
      <c r="AD44" s="3">
        <f>3166/31</f>
        <v>102.12903225806451</v>
      </c>
      <c r="AE44" s="3">
        <f>6850/31</f>
        <v>220.96774193548387</v>
      </c>
      <c r="AF44" s="192">
        <f t="shared" si="36"/>
        <v>0.96249189889825015</v>
      </c>
      <c r="AG44" s="4">
        <f>11881/31</f>
        <v>383.25806451612902</v>
      </c>
      <c r="AH44" s="3">
        <f>12344/31</f>
        <v>398.19354838709677</v>
      </c>
      <c r="AI44" s="66">
        <f t="shared" si="42"/>
        <v>501.93548387096774</v>
      </c>
      <c r="AJ44" s="67">
        <f t="shared" si="43"/>
        <v>0.39162387999597309</v>
      </c>
      <c r="AK44" s="85">
        <f t="shared" si="44"/>
        <v>1281.6774193548385</v>
      </c>
      <c r="AL44" s="193">
        <f t="shared" si="45"/>
        <v>14813.173903225806</v>
      </c>
      <c r="AM44" s="67">
        <f t="shared" si="46"/>
        <v>0.53627291041668668</v>
      </c>
      <c r="AN44" s="4">
        <f t="shared" si="47"/>
        <v>27622.454193548387</v>
      </c>
      <c r="AO44" s="67">
        <f t="shared" si="48"/>
        <v>0.18997253179097975</v>
      </c>
      <c r="AP44" s="67">
        <f t="shared" si="49"/>
        <v>0.66508401464133171</v>
      </c>
      <c r="AQ44" s="194">
        <f t="shared" si="50"/>
        <v>0.96371268187584214</v>
      </c>
    </row>
    <row r="45" spans="1:43" x14ac:dyDescent="0.15">
      <c r="A45" s="177">
        <v>42461</v>
      </c>
      <c r="B45" s="25">
        <v>0.10298955800314691</v>
      </c>
      <c r="C45" s="51">
        <v>205.71428571428572</v>
      </c>
      <c r="D45" s="3">
        <v>1997.4285714285713</v>
      </c>
      <c r="E45" s="39">
        <v>0.6519287164448454</v>
      </c>
      <c r="F45" s="51">
        <v>825.71428571428567</v>
      </c>
      <c r="G45" s="3">
        <v>1266.5714285714287</v>
      </c>
      <c r="H45" s="39">
        <v>0.98292682926829267</v>
      </c>
      <c r="I45" s="51">
        <v>518.14285714285711</v>
      </c>
      <c r="J45" s="3">
        <v>527.14285714285711</v>
      </c>
      <c r="K45" s="63">
        <f t="shared" si="51"/>
        <v>1549.5714285714284</v>
      </c>
      <c r="L45" s="7">
        <f t="shared" si="52"/>
        <v>0.40873464466048687</v>
      </c>
      <c r="M45" s="26">
        <f t="shared" si="53"/>
        <v>3791.1428571428569</v>
      </c>
      <c r="N45" s="45">
        <f>O45/P45</f>
        <v>0.2176246668994487</v>
      </c>
      <c r="O45" s="3">
        <v>2407.1653666666666</v>
      </c>
      <c r="P45" s="174">
        <v>11061.086966666666</v>
      </c>
      <c r="Q45" s="39">
        <f t="shared" si="38"/>
        <v>0.67365661230012763</v>
      </c>
      <c r="R45" s="3">
        <v>3409.0876999999996</v>
      </c>
      <c r="S45" s="3">
        <v>5060.5718666666662</v>
      </c>
      <c r="T45" s="39">
        <f t="shared" si="34"/>
        <v>0.95766799210049791</v>
      </c>
      <c r="U45" s="3">
        <v>6389.1553666666669</v>
      </c>
      <c r="V45" s="3">
        <v>6671.5766000000003</v>
      </c>
      <c r="W45" s="63">
        <f t="shared" si="39"/>
        <v>12205.408433333334</v>
      </c>
      <c r="X45" s="7">
        <f t="shared" si="40"/>
        <v>0.53548380479077906</v>
      </c>
      <c r="Y45" s="24">
        <f t="shared" si="41"/>
        <v>22793.235433333331</v>
      </c>
      <c r="Z45" s="25">
        <v>2.2052482444252799E-2</v>
      </c>
      <c r="AA45" s="3">
        <v>17.899999999999999</v>
      </c>
      <c r="AB45" s="3">
        <v>811.7</v>
      </c>
      <c r="AC45" s="39">
        <v>0.47494584837545128</v>
      </c>
      <c r="AD45" s="3">
        <v>109.63333333333334</v>
      </c>
      <c r="AE45" s="3">
        <v>230.83333333333334</v>
      </c>
      <c r="AF45" s="39">
        <v>0.96645754914261817</v>
      </c>
      <c r="AG45" s="3">
        <v>385.13333333333333</v>
      </c>
      <c r="AH45" s="3">
        <v>398.5</v>
      </c>
      <c r="AI45" s="63">
        <v>512.66666666666663</v>
      </c>
      <c r="AJ45" s="7">
        <v>0.35576322546320926</v>
      </c>
      <c r="AK45" s="26">
        <v>1441.0333333333333</v>
      </c>
      <c r="AL45" s="93">
        <f t="shared" si="45"/>
        <v>14267.646528571429</v>
      </c>
      <c r="AM45" s="7">
        <f t="shared" si="46"/>
        <v>0.50909676974913998</v>
      </c>
      <c r="AN45" s="3">
        <f t="shared" si="47"/>
        <v>28025.411623809523</v>
      </c>
      <c r="AO45" s="7">
        <f t="shared" si="48"/>
        <v>0.18967114426992035</v>
      </c>
      <c r="AP45" s="7">
        <f t="shared" si="49"/>
        <v>0.66246581302532015</v>
      </c>
      <c r="AQ45" s="94">
        <f t="shared" si="50"/>
        <v>0.9598816512120838</v>
      </c>
    </row>
    <row r="46" spans="1:43" x14ac:dyDescent="0.15">
      <c r="A46" s="177">
        <v>42430</v>
      </c>
      <c r="B46" s="25">
        <f t="shared" ref="B46:B96" si="54">C46/D46</f>
        <v>0.10172047432997462</v>
      </c>
      <c r="C46" s="51">
        <v>212</v>
      </c>
      <c r="D46" s="3">
        <v>2084.1428571428573</v>
      </c>
      <c r="E46" s="39">
        <f t="shared" ref="E46:E96" si="55">F46/G46</f>
        <v>0.64539316053147455</v>
      </c>
      <c r="F46" s="51">
        <v>846.57142857142856</v>
      </c>
      <c r="G46" s="3">
        <v>1311.7142857142858</v>
      </c>
      <c r="H46" s="39">
        <f t="shared" ref="H46:H96" si="56">I46/J46</f>
        <v>0.97208931419457656</v>
      </c>
      <c r="I46" s="51">
        <v>522.42857142857099</v>
      </c>
      <c r="J46" s="3">
        <v>537.42857142857144</v>
      </c>
      <c r="K46" s="63">
        <f t="shared" ref="K46:K51" si="57">SUM(C46+F46+I46)</f>
        <v>1580.9999999999995</v>
      </c>
      <c r="L46" s="7">
        <f t="shared" ref="L46:L52" si="58">K46/M46</f>
        <v>0.40195401881378695</v>
      </c>
      <c r="M46" s="26">
        <f t="shared" ref="M46:M51" si="59">SUM(J46+G46+D46)</f>
        <v>3933.2857142857147</v>
      </c>
      <c r="N46" s="45">
        <f t="shared" ref="N46:N81" si="60">O46/P46</f>
        <v>0.21649455664130793</v>
      </c>
      <c r="O46" s="3">
        <v>2700.3854838709676</v>
      </c>
      <c r="P46" s="174">
        <v>12473.22577419355</v>
      </c>
      <c r="Q46" s="39">
        <f t="shared" ref="Q46:Q96" si="61">R46/S46</f>
        <v>0.67364831575135287</v>
      </c>
      <c r="R46" s="3">
        <v>3700.862258064516</v>
      </c>
      <c r="S46" s="3">
        <v>5493.7601290322582</v>
      </c>
      <c r="T46" s="39">
        <f t="shared" ref="T46:T96" si="62">U46/V46</f>
        <v>0.96386021881814332</v>
      </c>
      <c r="U46" s="3">
        <v>7197.0409032258067</v>
      </c>
      <c r="V46" s="3">
        <v>7466.8927741935486</v>
      </c>
      <c r="W46" s="63">
        <f t="shared" ref="W46:W51" si="63">+U46+O46+R46</f>
        <v>13598.28864516129</v>
      </c>
      <c r="X46" s="7">
        <f t="shared" ref="X46:X52" si="64">W46/Y46</f>
        <v>0.53465257177758296</v>
      </c>
      <c r="Y46" s="24">
        <f t="shared" ref="Y46:Y51" si="65">+V46+S46+P46</f>
        <v>25433.878677419358</v>
      </c>
      <c r="Z46" s="25">
        <f t="shared" ref="Z46:Z81" si="66">AA46/AB46</f>
        <v>2.1260834135861915E-2</v>
      </c>
      <c r="AA46" s="3">
        <v>18.516129032258064</v>
      </c>
      <c r="AB46" s="3">
        <v>870.90322580645159</v>
      </c>
      <c r="AC46" s="39">
        <f t="shared" ref="AC46:AC96" si="67">AD46/AE46</f>
        <v>0.46802854344480199</v>
      </c>
      <c r="AD46" s="3">
        <v>107.90322580645162</v>
      </c>
      <c r="AE46" s="3">
        <v>230.54838709677421</v>
      </c>
      <c r="AF46" s="39">
        <f t="shared" ref="AF46:AF96" si="68">AG46/AH46</f>
        <v>0.96464842235832227</v>
      </c>
      <c r="AG46" s="3">
        <v>401.38709677419354</v>
      </c>
      <c r="AH46" s="3">
        <v>416.09677419354841</v>
      </c>
      <c r="AI46" s="63">
        <f t="shared" ref="AI46:AI51" si="69">AG46+AD46+AA46</f>
        <v>527.80645161290317</v>
      </c>
      <c r="AJ46" s="7">
        <f t="shared" ref="AJ46:AJ52" si="70">AI46/AK46</f>
        <v>0.34780205764815914</v>
      </c>
      <c r="AK46" s="26">
        <f t="shared" ref="AK46:AK51" si="71">+AH46+AE46+AB46</f>
        <v>1517.5483870967741</v>
      </c>
      <c r="AL46" s="93">
        <f t="shared" ref="AL46:AL51" si="72">+AI46+W46+K46</f>
        <v>15707.095096774194</v>
      </c>
      <c r="AM46" s="7">
        <f>AL46/AN46</f>
        <v>0.50857183647033877</v>
      </c>
      <c r="AN46" s="3">
        <f t="shared" ref="AN46:AN51" si="73">+AK46+Y46+M46</f>
        <v>30884.712778801844</v>
      </c>
      <c r="AO46" s="7">
        <f t="shared" ref="AO46:AO51" si="74">(+AA46+O46+C46)/(D46+P46+AB46)</f>
        <v>0.18996953385588033</v>
      </c>
      <c r="AP46" s="7">
        <f t="shared" ref="AP46:AP51" si="75">(+AD46+R46+F46)/(G46+S46+AE46)</f>
        <v>0.66164323845323192</v>
      </c>
      <c r="AQ46" s="94">
        <f t="shared" ref="AQ46:AQ51" si="76">(AG46+U46+I46)/(AH46+V46+J46)</f>
        <v>0.96442438556796339</v>
      </c>
    </row>
    <row r="47" spans="1:43" x14ac:dyDescent="0.15">
      <c r="A47" s="177">
        <v>42401</v>
      </c>
      <c r="B47" s="25">
        <f t="shared" si="54"/>
        <v>0.10053363199156728</v>
      </c>
      <c r="C47" s="51">
        <v>218</v>
      </c>
      <c r="D47" s="3">
        <v>2168.4285714285716</v>
      </c>
      <c r="E47" s="39">
        <f t="shared" si="55"/>
        <v>0.64069952305246425</v>
      </c>
      <c r="F47" s="51">
        <v>863.57142857142856</v>
      </c>
      <c r="G47" s="3">
        <v>1347.8571428571429</v>
      </c>
      <c r="H47" s="39">
        <f t="shared" si="56"/>
        <v>0.97908248157832189</v>
      </c>
      <c r="I47" s="51">
        <v>588.42857142857144</v>
      </c>
      <c r="J47" s="3">
        <v>601</v>
      </c>
      <c r="K47" s="63">
        <f t="shared" si="57"/>
        <v>1670</v>
      </c>
      <c r="L47" s="7">
        <f t="shared" si="58"/>
        <v>0.40560702265709025</v>
      </c>
      <c r="M47" s="26">
        <f t="shared" si="59"/>
        <v>4117.2857142857147</v>
      </c>
      <c r="N47" s="45">
        <f t="shared" si="60"/>
        <v>0.21664626248953719</v>
      </c>
      <c r="O47" s="3">
        <v>2740.853827586207</v>
      </c>
      <c r="P47" s="174">
        <v>12651.286</v>
      </c>
      <c r="Q47" s="39">
        <f t="shared" si="61"/>
        <v>0.67040275529042437</v>
      </c>
      <c r="R47" s="3">
        <v>3565.6985517241378</v>
      </c>
      <c r="S47" s="3">
        <v>5318.7408965517243</v>
      </c>
      <c r="T47" s="39">
        <f t="shared" si="62"/>
        <v>0.95693775962625649</v>
      </c>
      <c r="U47" s="3">
        <v>6693.209689655173</v>
      </c>
      <c r="V47" s="3">
        <v>6994.4044137931041</v>
      </c>
      <c r="W47" s="63">
        <f t="shared" si="63"/>
        <v>12999.762068965518</v>
      </c>
      <c r="X47" s="7">
        <f t="shared" si="64"/>
        <v>0.52073135203278753</v>
      </c>
      <c r="Y47" s="24">
        <f t="shared" si="65"/>
        <v>24964.431310344829</v>
      </c>
      <c r="Z47" s="25">
        <f t="shared" si="66"/>
        <v>2.184231852738008E-2</v>
      </c>
      <c r="AA47" s="3">
        <v>19.517241379310345</v>
      </c>
      <c r="AB47" s="3">
        <v>893.55172413793105</v>
      </c>
      <c r="AC47" s="39">
        <f t="shared" si="67"/>
        <v>0.47762832830085095</v>
      </c>
      <c r="AD47" s="3">
        <v>120</v>
      </c>
      <c r="AE47" s="3">
        <v>251.24137931034483</v>
      </c>
      <c r="AF47" s="39">
        <f t="shared" si="68"/>
        <v>0.96504899313324599</v>
      </c>
      <c r="AG47" s="3">
        <v>431.31034482758622</v>
      </c>
      <c r="AH47" s="3">
        <v>446.93103448275861</v>
      </c>
      <c r="AI47" s="63">
        <f t="shared" si="69"/>
        <v>570.82758620689663</v>
      </c>
      <c r="AJ47" s="7">
        <f t="shared" si="70"/>
        <v>0.35862218370883886</v>
      </c>
      <c r="AK47" s="26">
        <f t="shared" si="71"/>
        <v>1591.7241379310344</v>
      </c>
      <c r="AL47" s="93">
        <f t="shared" si="72"/>
        <v>15240.589655172414</v>
      </c>
      <c r="AM47" s="7">
        <f>AL47/AN47</f>
        <v>0.49686598821440003</v>
      </c>
      <c r="AN47" s="3">
        <f t="shared" si="73"/>
        <v>30673.441162561579</v>
      </c>
      <c r="AO47" s="7">
        <f t="shared" si="74"/>
        <v>0.18954500057100568</v>
      </c>
      <c r="AP47" s="7">
        <f t="shared" si="75"/>
        <v>0.65761427881450174</v>
      </c>
      <c r="AQ47" s="94">
        <f t="shared" si="76"/>
        <v>0.95904338429017577</v>
      </c>
    </row>
    <row r="48" spans="1:43" x14ac:dyDescent="0.15">
      <c r="A48" s="177">
        <v>42370</v>
      </c>
      <c r="B48" s="25">
        <f t="shared" si="54"/>
        <v>0.10413244028813345</v>
      </c>
      <c r="C48" s="51">
        <v>235.42857142857142</v>
      </c>
      <c r="D48" s="3">
        <v>2260.8571428571427</v>
      </c>
      <c r="E48" s="39">
        <f t="shared" si="55"/>
        <v>0.62278428527003216</v>
      </c>
      <c r="F48" s="51">
        <v>858.28571428571433</v>
      </c>
      <c r="G48" s="3">
        <v>1378.1428571428571</v>
      </c>
      <c r="H48" s="39">
        <f t="shared" si="56"/>
        <v>0.95115681233933169</v>
      </c>
      <c r="I48" s="51">
        <v>528.57142857142856</v>
      </c>
      <c r="J48" s="3">
        <v>555.71428571428567</v>
      </c>
      <c r="K48" s="63">
        <f t="shared" si="57"/>
        <v>1622.2857142857142</v>
      </c>
      <c r="L48" s="7">
        <f t="shared" si="58"/>
        <v>0.3867452235806968</v>
      </c>
      <c r="M48" s="26">
        <f t="shared" si="59"/>
        <v>4194.7142857142853</v>
      </c>
      <c r="N48" s="45">
        <f t="shared" si="60"/>
        <v>0.22277335483343697</v>
      </c>
      <c r="O48" s="3">
        <v>2816.6705483870965</v>
      </c>
      <c r="P48" s="174">
        <v>12643.659967741936</v>
      </c>
      <c r="Q48" s="39">
        <f t="shared" si="61"/>
        <v>0.66845386977563925</v>
      </c>
      <c r="R48" s="3">
        <v>3476.6742903225809</v>
      </c>
      <c r="S48" s="3">
        <v>5201.0683870967741</v>
      </c>
      <c r="T48" s="39">
        <f t="shared" si="62"/>
        <v>0.96617638055781752</v>
      </c>
      <c r="U48" s="3">
        <v>6900.2372903225805</v>
      </c>
      <c r="V48" s="3">
        <v>7141.7987741935485</v>
      </c>
      <c r="W48" s="63">
        <f t="shared" si="63"/>
        <v>13193.582129032258</v>
      </c>
      <c r="X48" s="7">
        <f t="shared" si="64"/>
        <v>0.52802784720340012</v>
      </c>
      <c r="Y48" s="24">
        <f t="shared" si="65"/>
        <v>24986.52712903226</v>
      </c>
      <c r="Z48" s="25">
        <f t="shared" si="66"/>
        <v>2.005502171673048E-2</v>
      </c>
      <c r="AA48" s="3">
        <v>18.043806451612902</v>
      </c>
      <c r="AB48" s="3">
        <v>899.71512903225812</v>
      </c>
      <c r="AC48" s="39">
        <f t="shared" si="67"/>
        <v>0.43584070861054186</v>
      </c>
      <c r="AD48" s="3">
        <v>96.308677419354837</v>
      </c>
      <c r="AE48" s="3">
        <v>220.97219354838708</v>
      </c>
      <c r="AF48" s="39">
        <f t="shared" si="68"/>
        <v>0.9662430656050216</v>
      </c>
      <c r="AG48" s="3">
        <v>369.79770967741933</v>
      </c>
      <c r="AH48" s="3">
        <v>382.71706451612903</v>
      </c>
      <c r="AI48" s="63">
        <f t="shared" si="69"/>
        <v>484.15019354838705</v>
      </c>
      <c r="AJ48" s="7">
        <f t="shared" si="70"/>
        <v>0.32203590577737368</v>
      </c>
      <c r="AK48" s="26">
        <f t="shared" si="71"/>
        <v>1503.4043870967744</v>
      </c>
      <c r="AL48" s="93">
        <f t="shared" si="72"/>
        <v>15300.018036866359</v>
      </c>
      <c r="AM48" s="7">
        <f>AL48/AN48</f>
        <v>0.49862130186124681</v>
      </c>
      <c r="AN48" s="3">
        <f t="shared" si="73"/>
        <v>30684.645801843322</v>
      </c>
      <c r="AO48" s="7">
        <f t="shared" si="74"/>
        <v>0.19426080809977375</v>
      </c>
      <c r="AP48" s="7">
        <f t="shared" si="75"/>
        <v>0.65163958039771142</v>
      </c>
      <c r="AQ48" s="94">
        <f t="shared" si="76"/>
        <v>0.96514657484800148</v>
      </c>
    </row>
    <row r="49" spans="1:43" x14ac:dyDescent="0.15">
      <c r="A49" s="177">
        <v>42339</v>
      </c>
      <c r="B49" s="25">
        <f t="shared" si="54"/>
        <v>0.10344412331406551</v>
      </c>
      <c r="C49" s="51">
        <v>245.42857142857142</v>
      </c>
      <c r="D49" s="3">
        <v>2372.5714285714284</v>
      </c>
      <c r="E49" s="39">
        <f t="shared" si="55"/>
        <v>0.61855324849296711</v>
      </c>
      <c r="F49" s="51">
        <v>791.57142857142856</v>
      </c>
      <c r="G49" s="3">
        <v>1279.7142857142858</v>
      </c>
      <c r="H49" s="39">
        <f t="shared" si="56"/>
        <v>0.9394542353610007</v>
      </c>
      <c r="I49" s="51">
        <v>472.14285714285717</v>
      </c>
      <c r="J49" s="3">
        <v>502.57142857142856</v>
      </c>
      <c r="K49" s="63">
        <f t="shared" si="57"/>
        <v>1509.1428571428571</v>
      </c>
      <c r="L49" s="7">
        <f t="shared" si="58"/>
        <v>0.3632237656443405</v>
      </c>
      <c r="M49" s="26">
        <f t="shared" si="59"/>
        <v>4154.8571428571431</v>
      </c>
      <c r="N49" s="45">
        <f t="shared" si="60"/>
        <v>0.19709436528076457</v>
      </c>
      <c r="O49" s="3">
        <v>2509.882516129032</v>
      </c>
      <c r="P49" s="174">
        <v>12734.420451612901</v>
      </c>
      <c r="Q49" s="39">
        <f t="shared" si="61"/>
        <v>0.66885095589658616</v>
      </c>
      <c r="R49" s="3">
        <v>3826.0332580645163</v>
      </c>
      <c r="S49" s="3">
        <v>5720.3076774193551</v>
      </c>
      <c r="T49" s="39">
        <f t="shared" si="62"/>
        <v>0.96291235628946692</v>
      </c>
      <c r="U49" s="3">
        <v>7991.8629032258068</v>
      </c>
      <c r="V49" s="3">
        <v>8299.6784193548392</v>
      </c>
      <c r="W49" s="63">
        <f t="shared" si="63"/>
        <v>14327.778677419356</v>
      </c>
      <c r="X49" s="7">
        <f t="shared" si="64"/>
        <v>0.53552967626124059</v>
      </c>
      <c r="Y49" s="24">
        <f t="shared" si="65"/>
        <v>26754.406548387095</v>
      </c>
      <c r="Z49" s="25">
        <f t="shared" si="66"/>
        <v>2.1537964197680531E-2</v>
      </c>
      <c r="AA49" s="3">
        <v>17.193548387096776</v>
      </c>
      <c r="AB49" s="3">
        <v>798.29032258064512</v>
      </c>
      <c r="AC49" s="39">
        <f t="shared" si="67"/>
        <v>0.46238290398126469</v>
      </c>
      <c r="AD49" s="3">
        <v>101.90322580645162</v>
      </c>
      <c r="AE49" s="3">
        <v>220.38709677419354</v>
      </c>
      <c r="AF49" s="39">
        <f t="shared" si="68"/>
        <v>0.91007054810450416</v>
      </c>
      <c r="AG49" s="3">
        <v>378.67741935483872</v>
      </c>
      <c r="AH49" s="3">
        <v>416.09677419354841</v>
      </c>
      <c r="AI49" s="63">
        <f t="shared" si="69"/>
        <v>497.77419354838713</v>
      </c>
      <c r="AJ49" s="7">
        <f t="shared" si="70"/>
        <v>0.34693556364944472</v>
      </c>
      <c r="AK49" s="26">
        <f t="shared" si="71"/>
        <v>1434.7741935483871</v>
      </c>
      <c r="AL49" s="93">
        <f t="shared" si="72"/>
        <v>16334.695728110599</v>
      </c>
      <c r="AM49" s="7">
        <f>AL49/AN49</f>
        <v>0.50502957566070539</v>
      </c>
      <c r="AN49" s="3">
        <f t="shared" si="73"/>
        <v>32344.037884792626</v>
      </c>
      <c r="AO49" s="7">
        <f t="shared" si="74"/>
        <v>0.17431345138049342</v>
      </c>
      <c r="AP49" s="7">
        <f t="shared" si="75"/>
        <v>0.65363442338025091</v>
      </c>
      <c r="AQ49" s="94">
        <f t="shared" si="76"/>
        <v>0.95924828412343544</v>
      </c>
    </row>
    <row r="50" spans="1:43" x14ac:dyDescent="0.15">
      <c r="A50" s="177">
        <v>42309</v>
      </c>
      <c r="B50" s="25">
        <f t="shared" si="54"/>
        <v>0.10689397710303633</v>
      </c>
      <c r="C50" s="51">
        <v>245.42857142857142</v>
      </c>
      <c r="D50" s="3">
        <v>2296</v>
      </c>
      <c r="E50" s="39">
        <f t="shared" si="55"/>
        <v>0.61807350792401927</v>
      </c>
      <c r="F50" s="51">
        <v>785.57142857142856</v>
      </c>
      <c r="G50" s="3">
        <v>1271</v>
      </c>
      <c r="H50" s="39">
        <f t="shared" si="56"/>
        <v>0.9020495075858399</v>
      </c>
      <c r="I50" s="51">
        <v>484.14285714285717</v>
      </c>
      <c r="J50" s="3">
        <v>536.71428571428567</v>
      </c>
      <c r="K50" s="63">
        <f t="shared" si="57"/>
        <v>1515.1428571428571</v>
      </c>
      <c r="L50" s="7">
        <f t="shared" si="58"/>
        <v>0.36921256005012876</v>
      </c>
      <c r="M50" s="26">
        <f t="shared" si="59"/>
        <v>4103.7142857142862</v>
      </c>
      <c r="N50" s="45">
        <f t="shared" si="60"/>
        <v>0.23357357274665932</v>
      </c>
      <c r="O50" s="3">
        <v>2209.9491333333335</v>
      </c>
      <c r="P50" s="174">
        <v>9461.4690666666665</v>
      </c>
      <c r="Q50" s="39">
        <f t="shared" si="61"/>
        <v>0.6619728575198921</v>
      </c>
      <c r="R50" s="3">
        <v>2987.2555666666667</v>
      </c>
      <c r="S50" s="3">
        <v>4512.6556666666665</v>
      </c>
      <c r="T50" s="39">
        <f t="shared" si="62"/>
        <v>0.95927638519119729</v>
      </c>
      <c r="U50" s="3">
        <v>6601.1358666666665</v>
      </c>
      <c r="V50" s="3">
        <v>6881.3701333333329</v>
      </c>
      <c r="W50" s="63">
        <f t="shared" si="63"/>
        <v>11798.340566666666</v>
      </c>
      <c r="X50" s="7">
        <f t="shared" si="64"/>
        <v>0.56571856204303983</v>
      </c>
      <c r="Y50" s="24">
        <f t="shared" si="65"/>
        <v>20855.494866666668</v>
      </c>
      <c r="Z50" s="25">
        <f t="shared" si="66"/>
        <v>1.9984291823021208E-2</v>
      </c>
      <c r="AA50" s="3">
        <v>15.266666666666667</v>
      </c>
      <c r="AB50" s="3">
        <v>763.93333333333328</v>
      </c>
      <c r="AC50" s="39">
        <f t="shared" si="67"/>
        <v>0.37971487971487972</v>
      </c>
      <c r="AD50" s="3">
        <v>85.233333333333334</v>
      </c>
      <c r="AE50" s="3">
        <v>224.46666666666667</v>
      </c>
      <c r="AF50" s="39">
        <f t="shared" si="68"/>
        <v>0.96760374832663987</v>
      </c>
      <c r="AG50" s="3">
        <v>361.4</v>
      </c>
      <c r="AH50" s="3">
        <v>373.5</v>
      </c>
      <c r="AI50" s="63">
        <f t="shared" si="69"/>
        <v>461.9</v>
      </c>
      <c r="AJ50" s="7">
        <f t="shared" si="70"/>
        <v>0.3391585285263235</v>
      </c>
      <c r="AK50" s="26">
        <f t="shared" si="71"/>
        <v>1361.9</v>
      </c>
      <c r="AL50" s="93">
        <f t="shared" si="72"/>
        <v>13775.383423809522</v>
      </c>
      <c r="AM50" s="7">
        <f t="shared" ref="AM50:AM56" si="77">AL50/AN50</f>
        <v>0.52335877428491373</v>
      </c>
      <c r="AN50" s="3">
        <f t="shared" si="73"/>
        <v>26321.109152380955</v>
      </c>
      <c r="AO50" s="7">
        <f t="shared" si="74"/>
        <v>0.19731371075723692</v>
      </c>
      <c r="AP50" s="7">
        <f t="shared" si="75"/>
        <v>0.64214077452563445</v>
      </c>
      <c r="AQ50" s="94">
        <f t="shared" si="76"/>
        <v>0.95573356114901031</v>
      </c>
    </row>
    <row r="51" spans="1:43" x14ac:dyDescent="0.15">
      <c r="A51" s="177">
        <v>42278</v>
      </c>
      <c r="B51" s="25">
        <f t="shared" si="54"/>
        <v>0.10795838400216187</v>
      </c>
      <c r="C51" s="51">
        <v>228.28571428571428</v>
      </c>
      <c r="D51" s="3">
        <v>2114.5714285714284</v>
      </c>
      <c r="E51" s="39">
        <f t="shared" si="55"/>
        <v>0.61855670103092786</v>
      </c>
      <c r="F51" s="51">
        <v>720</v>
      </c>
      <c r="G51" s="3">
        <v>1164</v>
      </c>
      <c r="H51" s="39">
        <f t="shared" si="56"/>
        <v>0.92289252896524177</v>
      </c>
      <c r="I51" s="51">
        <v>660</v>
      </c>
      <c r="J51" s="3">
        <v>715.14285714285711</v>
      </c>
      <c r="K51" s="63">
        <f t="shared" si="57"/>
        <v>1608.2857142857142</v>
      </c>
      <c r="L51" s="7">
        <f t="shared" si="58"/>
        <v>0.40270424953498357</v>
      </c>
      <c r="M51" s="26">
        <f t="shared" si="59"/>
        <v>3993.7142857142853</v>
      </c>
      <c r="N51" s="45">
        <f t="shared" si="60"/>
        <v>0.23953530872712564</v>
      </c>
      <c r="O51" s="3">
        <v>2449.0783225806454</v>
      </c>
      <c r="P51" s="174">
        <v>10224.289419354838</v>
      </c>
      <c r="Q51" s="39">
        <f t="shared" si="61"/>
        <v>0.65344413645925425</v>
      </c>
      <c r="R51" s="3">
        <v>3484.5337741935487</v>
      </c>
      <c r="S51" s="3">
        <v>5332.5656774193549</v>
      </c>
      <c r="T51" s="39">
        <f t="shared" si="62"/>
        <v>0.95712349584287193</v>
      </c>
      <c r="U51" s="3">
        <v>8104.8595806451613</v>
      </c>
      <c r="V51" s="3">
        <v>8467.9350322580649</v>
      </c>
      <c r="W51" s="63">
        <f t="shared" si="63"/>
        <v>14038.471677419357</v>
      </c>
      <c r="X51" s="7">
        <f t="shared" si="64"/>
        <v>0.58433274971483962</v>
      </c>
      <c r="Y51" s="24">
        <f t="shared" si="65"/>
        <v>24024.790129032259</v>
      </c>
      <c r="Z51" s="25">
        <f t="shared" si="66"/>
        <v>1.6843681280119777E-2</v>
      </c>
      <c r="AA51" s="3">
        <v>11.612903225806452</v>
      </c>
      <c r="AB51" s="3">
        <v>689.45161290322585</v>
      </c>
      <c r="AC51" s="39">
        <f t="shared" si="67"/>
        <v>0.22841357537490137</v>
      </c>
      <c r="AD51" s="3">
        <v>46.677419354838712</v>
      </c>
      <c r="AE51" s="3">
        <v>204.35483870967741</v>
      </c>
      <c r="AF51" s="39">
        <f t="shared" si="68"/>
        <v>0.9427477669076989</v>
      </c>
      <c r="AG51" s="3">
        <v>357.48387096774195</v>
      </c>
      <c r="AH51" s="3">
        <v>379.19354838709677</v>
      </c>
      <c r="AI51" s="63">
        <f t="shared" si="69"/>
        <v>415.77419354838713</v>
      </c>
      <c r="AJ51" s="7">
        <f t="shared" si="70"/>
        <v>0.32660973570179663</v>
      </c>
      <c r="AK51" s="26">
        <f t="shared" si="71"/>
        <v>1273</v>
      </c>
      <c r="AL51" s="93">
        <f t="shared" si="72"/>
        <v>16062.531585253457</v>
      </c>
      <c r="AM51" s="7">
        <f t="shared" si="77"/>
        <v>0.54836826944152861</v>
      </c>
      <c r="AN51" s="3">
        <f t="shared" si="73"/>
        <v>29291.504414746545</v>
      </c>
      <c r="AO51" s="7">
        <f t="shared" si="74"/>
        <v>0.20639487640296916</v>
      </c>
      <c r="AP51" s="7">
        <f t="shared" si="75"/>
        <v>0.63442196983470778</v>
      </c>
      <c r="AQ51" s="94">
        <f t="shared" si="76"/>
        <v>0.95399335931454377</v>
      </c>
    </row>
    <row r="52" spans="1:43" x14ac:dyDescent="0.15">
      <c r="A52" s="177">
        <v>42248</v>
      </c>
      <c r="B52" s="25">
        <f t="shared" si="54"/>
        <v>0.11109767891682784</v>
      </c>
      <c r="C52" s="51">
        <v>262.57142857142856</v>
      </c>
      <c r="D52" s="3">
        <v>2363.4285714285716</v>
      </c>
      <c r="E52" s="39">
        <f t="shared" si="55"/>
        <v>0.61939931068439191</v>
      </c>
      <c r="F52" s="51">
        <v>898.57142857142856</v>
      </c>
      <c r="G52" s="3">
        <v>1450.7142857142858</v>
      </c>
      <c r="H52" s="39">
        <f t="shared" si="56"/>
        <v>0.9693563009972801</v>
      </c>
      <c r="I52" s="51">
        <v>763.71428571428567</v>
      </c>
      <c r="J52" s="3">
        <v>787.85714285714289</v>
      </c>
      <c r="K52" s="63">
        <f t="shared" ref="K52:K57" si="78">SUM(C52+F52+I52)</f>
        <v>1924.8571428571427</v>
      </c>
      <c r="L52" s="7">
        <f t="shared" si="58"/>
        <v>0.41826535046874025</v>
      </c>
      <c r="M52" s="26">
        <f t="shared" ref="M52:M57" si="79">SUM(J52+G52+D52)</f>
        <v>4602</v>
      </c>
      <c r="N52" s="45">
        <f t="shared" si="60"/>
        <v>0.24320584774428433</v>
      </c>
      <c r="O52" s="3">
        <v>2960.3449666666666</v>
      </c>
      <c r="P52" s="174">
        <v>12172.178400000001</v>
      </c>
      <c r="Q52" s="39">
        <f t="shared" si="61"/>
        <v>0.63759385980895489</v>
      </c>
      <c r="R52" s="3">
        <v>3945.8729333333331</v>
      </c>
      <c r="S52" s="3">
        <v>6188.6934333333338</v>
      </c>
      <c r="T52" s="39">
        <f t="shared" si="62"/>
        <v>0.96024750614125709</v>
      </c>
      <c r="U52" s="3">
        <v>8822.9309000000012</v>
      </c>
      <c r="V52" s="3">
        <v>9188.1841333333341</v>
      </c>
      <c r="W52" s="63">
        <f t="shared" ref="W52:W57" si="80">+U52+O52+R52</f>
        <v>15729.148799999999</v>
      </c>
      <c r="X52" s="7">
        <f t="shared" si="64"/>
        <v>0.57095055522162663</v>
      </c>
      <c r="Y52" s="24">
        <f t="shared" ref="Y52:Y57" si="81">+V52+S52+P52</f>
        <v>27549.055966666667</v>
      </c>
      <c r="Z52" s="25">
        <f t="shared" si="66"/>
        <v>1.0740505755460891E-2</v>
      </c>
      <c r="AA52" s="3">
        <v>7.9</v>
      </c>
      <c r="AB52" s="3">
        <v>735.5333333333333</v>
      </c>
      <c r="AC52" s="39">
        <f t="shared" si="67"/>
        <v>0.17753897381565009</v>
      </c>
      <c r="AD52" s="3">
        <v>39.1</v>
      </c>
      <c r="AE52" s="3">
        <v>220.23333333333332</v>
      </c>
      <c r="AF52" s="39">
        <f t="shared" si="68"/>
        <v>0.96444215408399891</v>
      </c>
      <c r="AG52" s="3">
        <v>374.3</v>
      </c>
      <c r="AH52" s="3">
        <v>388.1</v>
      </c>
      <c r="AI52" s="63">
        <f t="shared" ref="AI52:AI57" si="82">AG52+AD52+AA52</f>
        <v>421.3</v>
      </c>
      <c r="AJ52" s="7">
        <f t="shared" si="70"/>
        <v>0.31349836293283062</v>
      </c>
      <c r="AK52" s="26">
        <f t="shared" ref="AK52:AK57" si="83">+AH52+AE52+AB52</f>
        <v>1343.8666666666668</v>
      </c>
      <c r="AL52" s="93">
        <f t="shared" ref="AL52:AL57" si="84">+AI52+W52+K52</f>
        <v>18075.30594285714</v>
      </c>
      <c r="AM52" s="7">
        <f t="shared" si="77"/>
        <v>0.53964316146438962</v>
      </c>
      <c r="AN52" s="3">
        <f t="shared" ref="AN52:AN57" si="85">+AK52+Y52+M52</f>
        <v>33494.922633333335</v>
      </c>
      <c r="AO52" s="7">
        <f t="shared" ref="AO52:AO57" si="86">(+AA52+O52+C52)/(D52+P52+AB52)</f>
        <v>0.21156353296227981</v>
      </c>
      <c r="AP52" s="7">
        <f t="shared" ref="AP52:AP57" si="87">(+AD52+R52+F52)/(G52+S52+AE52)</f>
        <v>0.62134445191048127</v>
      </c>
      <c r="AQ52" s="94">
        <f t="shared" ref="AQ52:AQ57" si="88">(AG52+U52+I52)/(AH52+V52+J52)</f>
        <v>0.96109700941625986</v>
      </c>
    </row>
    <row r="53" spans="1:43" x14ac:dyDescent="0.15">
      <c r="A53" s="177">
        <v>42217</v>
      </c>
      <c r="B53" s="25">
        <f t="shared" si="54"/>
        <v>0.11148628278564969</v>
      </c>
      <c r="C53" s="51">
        <v>264.14285714285717</v>
      </c>
      <c r="D53" s="3">
        <v>2369.2857142857142</v>
      </c>
      <c r="E53" s="39">
        <f t="shared" si="55"/>
        <v>0.62118544600938963</v>
      </c>
      <c r="F53" s="51">
        <v>907.28571428571433</v>
      </c>
      <c r="G53" s="3">
        <v>1460.5714285714287</v>
      </c>
      <c r="H53" s="39">
        <f t="shared" si="56"/>
        <v>0.94652844086754884</v>
      </c>
      <c r="I53" s="51">
        <v>991.28571428571433</v>
      </c>
      <c r="J53" s="3">
        <v>1047.2857142857142</v>
      </c>
      <c r="K53" s="63">
        <f t="shared" si="78"/>
        <v>2162.7142857142858</v>
      </c>
      <c r="L53" s="7">
        <f t="shared" ref="L53:L58" si="89">K53/M53</f>
        <v>0.44343878148799065</v>
      </c>
      <c r="M53" s="26">
        <f t="shared" si="79"/>
        <v>4877.1428571428569</v>
      </c>
      <c r="N53" s="45">
        <f t="shared" si="60"/>
        <v>0.24454440100421063</v>
      </c>
      <c r="O53" s="3">
        <v>2941.7884838709679</v>
      </c>
      <c r="P53" s="174">
        <v>12029.670161290323</v>
      </c>
      <c r="Q53" s="39">
        <f t="shared" si="61"/>
        <v>0.6327192773742355</v>
      </c>
      <c r="R53" s="3">
        <v>3877.4073548387096</v>
      </c>
      <c r="S53" s="3">
        <v>6128.1637741935483</v>
      </c>
      <c r="T53" s="39">
        <f t="shared" si="62"/>
        <v>0.95146794570401894</v>
      </c>
      <c r="U53" s="3">
        <v>8318.07</v>
      </c>
      <c r="V53" s="3">
        <v>8742.3544193548387</v>
      </c>
      <c r="W53" s="63">
        <f t="shared" si="80"/>
        <v>15137.265838709678</v>
      </c>
      <c r="X53" s="7">
        <f t="shared" ref="X53:X58" si="90">W53/Y53</f>
        <v>0.56271969694170709</v>
      </c>
      <c r="Y53" s="24">
        <f t="shared" si="81"/>
        <v>26900.188354838712</v>
      </c>
      <c r="Z53" s="25">
        <f t="shared" si="66"/>
        <v>7.8764824345491178E-3</v>
      </c>
      <c r="AA53" s="3">
        <v>5.67741935483871</v>
      </c>
      <c r="AB53" s="3">
        <v>720.80645161290317</v>
      </c>
      <c r="AC53" s="39">
        <f t="shared" si="67"/>
        <v>0.16930260581412865</v>
      </c>
      <c r="AD53" s="3">
        <v>36.258064516129032</v>
      </c>
      <c r="AE53" s="3">
        <v>214.16129032258064</v>
      </c>
      <c r="AF53" s="39">
        <f t="shared" si="68"/>
        <v>0.93566095740008792</v>
      </c>
      <c r="AG53" s="3">
        <v>412.35483870967744</v>
      </c>
      <c r="AH53" s="3">
        <v>440.70967741935482</v>
      </c>
      <c r="AI53" s="63">
        <f t="shared" si="82"/>
        <v>454.29032258064518</v>
      </c>
      <c r="AJ53" s="7">
        <f t="shared" ref="AJ53:AJ58" si="91">AI53/AK53</f>
        <v>0.33023026778595888</v>
      </c>
      <c r="AK53" s="26">
        <f t="shared" si="83"/>
        <v>1375.6774193548385</v>
      </c>
      <c r="AL53" s="93">
        <f t="shared" si="84"/>
        <v>17754.270447004608</v>
      </c>
      <c r="AM53" s="7">
        <f t="shared" si="77"/>
        <v>0.53552516588866006</v>
      </c>
      <c r="AN53" s="3">
        <f t="shared" si="85"/>
        <v>33153.008631336408</v>
      </c>
      <c r="AO53" s="7">
        <f t="shared" si="86"/>
        <v>0.21241132571200705</v>
      </c>
      <c r="AP53" s="7">
        <f t="shared" si="87"/>
        <v>0.61784122574371514</v>
      </c>
      <c r="AQ53" s="94">
        <f t="shared" si="88"/>
        <v>0.95028134252900798</v>
      </c>
    </row>
    <row r="54" spans="1:43" x14ac:dyDescent="0.15">
      <c r="A54" s="177">
        <v>42186</v>
      </c>
      <c r="B54" s="25">
        <f t="shared" si="54"/>
        <v>0.11192986913988059</v>
      </c>
      <c r="C54" s="51">
        <v>251.71428571428572</v>
      </c>
      <c r="D54" s="3">
        <v>2248.8571428571427</v>
      </c>
      <c r="E54" s="39">
        <f t="shared" si="55"/>
        <v>0.62713706888032406</v>
      </c>
      <c r="F54" s="51">
        <v>906.57142857142856</v>
      </c>
      <c r="G54" s="3">
        <v>1445.5714285714287</v>
      </c>
      <c r="H54" s="39">
        <f t="shared" si="56"/>
        <v>0.96588594704684327</v>
      </c>
      <c r="I54" s="51">
        <v>813</v>
      </c>
      <c r="J54" s="3">
        <v>841.71428571428567</v>
      </c>
      <c r="K54" s="63">
        <f t="shared" si="78"/>
        <v>1971.2857142857142</v>
      </c>
      <c r="L54" s="7">
        <f t="shared" si="89"/>
        <v>0.43457311120209113</v>
      </c>
      <c r="M54" s="26">
        <f t="shared" si="79"/>
        <v>4536.1428571428569</v>
      </c>
      <c r="N54" s="45">
        <f t="shared" si="60"/>
        <v>0.24880677533158108</v>
      </c>
      <c r="O54" s="3">
        <v>2802.8355483870969</v>
      </c>
      <c r="P54" s="174">
        <v>11265.109419354838</v>
      </c>
      <c r="Q54" s="39">
        <f t="shared" si="61"/>
        <v>0.63807309066847817</v>
      </c>
      <c r="R54" s="3">
        <v>3754.5475806451614</v>
      </c>
      <c r="S54" s="3">
        <v>5884.1967096774197</v>
      </c>
      <c r="T54" s="39">
        <f t="shared" si="62"/>
        <v>0.95371926728465339</v>
      </c>
      <c r="U54" s="3">
        <v>8263.9953870967747</v>
      </c>
      <c r="V54" s="3">
        <v>8665.0188064516133</v>
      </c>
      <c r="W54" s="63">
        <f t="shared" si="80"/>
        <v>14821.378516129033</v>
      </c>
      <c r="X54" s="7">
        <f t="shared" si="90"/>
        <v>0.57415324836776394</v>
      </c>
      <c r="Y54" s="24">
        <f t="shared" si="81"/>
        <v>25814.32493548387</v>
      </c>
      <c r="Z54" s="25">
        <f t="shared" si="66"/>
        <v>8.1708088128009341E-3</v>
      </c>
      <c r="AA54" s="3">
        <v>5.419354838709677</v>
      </c>
      <c r="AB54" s="3">
        <v>663.25806451612902</v>
      </c>
      <c r="AC54" s="39">
        <f t="shared" si="67"/>
        <v>0.15796000620058903</v>
      </c>
      <c r="AD54" s="3">
        <v>32.87096774193548</v>
      </c>
      <c r="AE54" s="3">
        <v>208.09677419354838</v>
      </c>
      <c r="AF54" s="39">
        <f t="shared" si="68"/>
        <v>0.94061142666221187</v>
      </c>
      <c r="AG54" s="3">
        <v>363.25806451612902</v>
      </c>
      <c r="AH54" s="3">
        <v>386.19354838709677</v>
      </c>
      <c r="AI54" s="63">
        <f t="shared" si="82"/>
        <v>401.54838709677421</v>
      </c>
      <c r="AJ54" s="7">
        <f t="shared" si="91"/>
        <v>0.31931048635337578</v>
      </c>
      <c r="AK54" s="26">
        <f t="shared" si="83"/>
        <v>1257.5483870967741</v>
      </c>
      <c r="AL54" s="93">
        <f t="shared" si="84"/>
        <v>17194.212617511523</v>
      </c>
      <c r="AM54" s="7">
        <f t="shared" si="77"/>
        <v>0.54398265679646129</v>
      </c>
      <c r="AN54" s="3">
        <f t="shared" si="85"/>
        <v>31608.016179723498</v>
      </c>
      <c r="AO54" s="7">
        <f t="shared" si="86"/>
        <v>0.21583696876546474</v>
      </c>
      <c r="AP54" s="7">
        <f t="shared" si="87"/>
        <v>0.62272142463184488</v>
      </c>
      <c r="AQ54" s="94">
        <f t="shared" si="88"/>
        <v>0.95424274278103927</v>
      </c>
    </row>
    <row r="55" spans="1:43" x14ac:dyDescent="0.15">
      <c r="A55" s="177">
        <v>42156</v>
      </c>
      <c r="B55" s="25">
        <f t="shared" si="54"/>
        <v>0.11152998079522015</v>
      </c>
      <c r="C55" s="51">
        <v>224</v>
      </c>
      <c r="D55" s="3">
        <v>2008.4285714285713</v>
      </c>
      <c r="E55" s="39">
        <f t="shared" si="55"/>
        <v>0.63950590529851559</v>
      </c>
      <c r="F55" s="51">
        <v>843.14285714285711</v>
      </c>
      <c r="G55" s="3">
        <v>1318.4285714285713</v>
      </c>
      <c r="H55" s="39">
        <f t="shared" si="56"/>
        <v>0.85289866709490925</v>
      </c>
      <c r="I55" s="51">
        <v>758.71428571428567</v>
      </c>
      <c r="J55" s="3">
        <v>889.57142857142856</v>
      </c>
      <c r="K55" s="63">
        <f t="shared" si="78"/>
        <v>1825.8571428571427</v>
      </c>
      <c r="L55" s="7">
        <f t="shared" si="89"/>
        <v>0.4330340504828053</v>
      </c>
      <c r="M55" s="26">
        <f t="shared" si="79"/>
        <v>4216.4285714285716</v>
      </c>
      <c r="N55" s="45">
        <f t="shared" si="60"/>
        <v>0.25296124399872472</v>
      </c>
      <c r="O55" s="3">
        <v>2589.1773000000003</v>
      </c>
      <c r="P55" s="174">
        <v>10235.470300000001</v>
      </c>
      <c r="Q55" s="39">
        <f t="shared" si="61"/>
        <v>0.65535812451175834</v>
      </c>
      <c r="R55" s="3">
        <v>3618.5416</v>
      </c>
      <c r="S55" s="3">
        <v>5521.4721</v>
      </c>
      <c r="T55" s="39">
        <f t="shared" si="62"/>
        <v>0.95038670946019266</v>
      </c>
      <c r="U55" s="3">
        <v>8717.4404666666669</v>
      </c>
      <c r="V55" s="3">
        <v>9172.5193333333336</v>
      </c>
      <c r="W55" s="63">
        <f t="shared" si="80"/>
        <v>14925.159366666667</v>
      </c>
      <c r="X55" s="7">
        <f t="shared" si="90"/>
        <v>0.59869561269789251</v>
      </c>
      <c r="Y55" s="24">
        <f t="shared" si="81"/>
        <v>24929.461733333334</v>
      </c>
      <c r="Z55" s="25">
        <f t="shared" si="66"/>
        <v>9.0738731630338309E-3</v>
      </c>
      <c r="AA55" s="3">
        <v>6.1333333333333337</v>
      </c>
      <c r="AB55" s="3">
        <v>675.93333333333328</v>
      </c>
      <c r="AC55" s="39">
        <f t="shared" si="67"/>
        <v>0.16414103525881471</v>
      </c>
      <c r="AD55" s="3">
        <v>36.466666666666669</v>
      </c>
      <c r="AE55" s="3">
        <v>222.16666666666666</v>
      </c>
      <c r="AF55" s="39">
        <f t="shared" si="68"/>
        <v>0.9314716981132074</v>
      </c>
      <c r="AG55" s="3">
        <v>411.4</v>
      </c>
      <c r="AH55" s="3">
        <v>441.66666666666669</v>
      </c>
      <c r="AI55" s="63">
        <f t="shared" si="82"/>
        <v>454</v>
      </c>
      <c r="AJ55" s="7">
        <f t="shared" si="91"/>
        <v>0.33886497648844327</v>
      </c>
      <c r="AK55" s="26">
        <f t="shared" si="83"/>
        <v>1339.7666666666667</v>
      </c>
      <c r="AL55" s="93">
        <f t="shared" si="84"/>
        <v>17205.016509523808</v>
      </c>
      <c r="AM55" s="7">
        <f t="shared" si="77"/>
        <v>0.56436430173207364</v>
      </c>
      <c r="AN55" s="3">
        <f t="shared" si="85"/>
        <v>30485.656971428572</v>
      </c>
      <c r="AO55" s="7">
        <f t="shared" si="86"/>
        <v>0.21821573133853944</v>
      </c>
      <c r="AP55" s="7">
        <f t="shared" si="87"/>
        <v>0.63694537427375375</v>
      </c>
      <c r="AQ55" s="94">
        <f t="shared" si="88"/>
        <v>0.94133502412057479</v>
      </c>
    </row>
    <row r="56" spans="1:43" x14ac:dyDescent="0.15">
      <c r="A56" s="177">
        <v>42125</v>
      </c>
      <c r="B56" s="25">
        <f t="shared" si="54"/>
        <v>0.10776699029126213</v>
      </c>
      <c r="C56" s="51">
        <v>222</v>
      </c>
      <c r="D56" s="3">
        <v>2060</v>
      </c>
      <c r="E56" s="39">
        <f t="shared" si="55"/>
        <v>0.6382782828864082</v>
      </c>
      <c r="F56" s="51">
        <v>792.28571428571433</v>
      </c>
      <c r="G56" s="3">
        <v>1241.2857142857142</v>
      </c>
      <c r="H56" s="39">
        <f t="shared" si="56"/>
        <v>0.91909924937447862</v>
      </c>
      <c r="I56" s="51">
        <v>787.14285714285711</v>
      </c>
      <c r="J56" s="3">
        <v>856.42857142857144</v>
      </c>
      <c r="K56" s="63">
        <f t="shared" si="78"/>
        <v>1801.4285714285716</v>
      </c>
      <c r="L56" s="7">
        <f t="shared" si="89"/>
        <v>0.43327377680043977</v>
      </c>
      <c r="M56" s="26">
        <f t="shared" si="79"/>
        <v>4157.7142857142862</v>
      </c>
      <c r="N56" s="45">
        <f t="shared" si="60"/>
        <v>0.24985903166794493</v>
      </c>
      <c r="O56" s="3">
        <v>2324.5369032258063</v>
      </c>
      <c r="P56" s="174">
        <v>9303.3935483870973</v>
      </c>
      <c r="Q56" s="39">
        <f t="shared" si="61"/>
        <v>0.65578798721280762</v>
      </c>
      <c r="R56" s="3">
        <v>3053.547064516129</v>
      </c>
      <c r="S56" s="3">
        <v>4656.302225806452</v>
      </c>
      <c r="T56" s="39">
        <f t="shared" si="62"/>
        <v>0.95916801158580689</v>
      </c>
      <c r="U56" s="3">
        <v>6993.9465161290327</v>
      </c>
      <c r="V56" s="3">
        <v>7291.6803225806452</v>
      </c>
      <c r="W56" s="63">
        <f t="shared" si="80"/>
        <v>12372.030483870969</v>
      </c>
      <c r="X56" s="7">
        <f t="shared" si="90"/>
        <v>0.58217549901387111</v>
      </c>
      <c r="Y56" s="24">
        <f t="shared" si="81"/>
        <v>21251.376096774195</v>
      </c>
      <c r="Z56" s="25">
        <f t="shared" si="66"/>
        <v>7.0012819248594822E-3</v>
      </c>
      <c r="AA56" s="3">
        <v>4.580645161290323</v>
      </c>
      <c r="AB56" s="3">
        <v>654.25806451612902</v>
      </c>
      <c r="AC56" s="39">
        <f t="shared" si="67"/>
        <v>0.15875587234731897</v>
      </c>
      <c r="AD56" s="3">
        <v>31.612903225806452</v>
      </c>
      <c r="AE56" s="3">
        <v>199.12903225806451</v>
      </c>
      <c r="AF56" s="39">
        <f t="shared" si="68"/>
        <v>0.91800786838340487</v>
      </c>
      <c r="AG56" s="3">
        <v>331.19354838709677</v>
      </c>
      <c r="AH56" s="3">
        <v>360.77419354838707</v>
      </c>
      <c r="AI56" s="63">
        <f t="shared" si="82"/>
        <v>367.38709677419354</v>
      </c>
      <c r="AJ56" s="7">
        <f t="shared" si="91"/>
        <v>0.30258508461967643</v>
      </c>
      <c r="AK56" s="26">
        <f t="shared" si="83"/>
        <v>1214.1612903225805</v>
      </c>
      <c r="AL56" s="93">
        <f t="shared" si="84"/>
        <v>14540.846152073733</v>
      </c>
      <c r="AM56" s="7">
        <f t="shared" si="77"/>
        <v>0.5461709309882512</v>
      </c>
      <c r="AN56" s="3">
        <f t="shared" si="85"/>
        <v>26623.25167281106</v>
      </c>
      <c r="AO56" s="7">
        <f t="shared" si="86"/>
        <v>0.21228087071920013</v>
      </c>
      <c r="AP56" s="7">
        <f t="shared" si="87"/>
        <v>0.63598912326299584</v>
      </c>
      <c r="AQ56" s="94">
        <f t="shared" si="88"/>
        <v>0.95338986776318979</v>
      </c>
    </row>
    <row r="57" spans="1:43" x14ac:dyDescent="0.15">
      <c r="A57" s="177">
        <v>42095</v>
      </c>
      <c r="B57" s="25">
        <f t="shared" si="54"/>
        <v>0.10447348406278088</v>
      </c>
      <c r="C57" s="51">
        <v>215.85714285714286</v>
      </c>
      <c r="D57" s="3">
        <v>2066.1428571428573</v>
      </c>
      <c r="E57" s="39">
        <f t="shared" si="55"/>
        <v>0.63431734317343169</v>
      </c>
      <c r="F57" s="51">
        <v>736.71428571428567</v>
      </c>
      <c r="G57" s="3">
        <v>1161.4285714285713</v>
      </c>
      <c r="H57" s="39">
        <f t="shared" si="56"/>
        <v>0.9610132950053899</v>
      </c>
      <c r="I57" s="51">
        <v>764.14285714285711</v>
      </c>
      <c r="J57" s="3">
        <v>795.14285714285711</v>
      </c>
      <c r="K57" s="63">
        <f t="shared" si="78"/>
        <v>1716.7142857142858</v>
      </c>
      <c r="L57" s="7">
        <f t="shared" si="89"/>
        <v>0.42675521147768031</v>
      </c>
      <c r="M57" s="26">
        <f t="shared" si="79"/>
        <v>4022.7142857142858</v>
      </c>
      <c r="N57" s="45">
        <f t="shared" si="60"/>
        <v>0.24767028465425209</v>
      </c>
      <c r="O57" s="3">
        <v>2977.676833333333</v>
      </c>
      <c r="P57" s="174">
        <v>12022.745633333334</v>
      </c>
      <c r="Q57" s="39">
        <f t="shared" si="61"/>
        <v>0.6587482505893687</v>
      </c>
      <c r="R57" s="3">
        <v>3590.5402333333332</v>
      </c>
      <c r="S57" s="3">
        <v>5450.5499333333328</v>
      </c>
      <c r="T57" s="39">
        <f t="shared" si="62"/>
        <v>0.96727154630160561</v>
      </c>
      <c r="U57" s="3">
        <v>8289.8536333333341</v>
      </c>
      <c r="V57" s="3">
        <v>8570.347866666667</v>
      </c>
      <c r="W57" s="63">
        <f t="shared" si="80"/>
        <v>14858.0707</v>
      </c>
      <c r="X57" s="7">
        <f t="shared" si="90"/>
        <v>0.57050660895560856</v>
      </c>
      <c r="Y57" s="24">
        <f t="shared" si="81"/>
        <v>26043.643433333331</v>
      </c>
      <c r="Z57" s="25">
        <f t="shared" si="66"/>
        <v>6.2324471973223567E-3</v>
      </c>
      <c r="AA57" s="3">
        <v>5.4</v>
      </c>
      <c r="AB57" s="3">
        <v>866.43333333333328</v>
      </c>
      <c r="AC57" s="39">
        <f t="shared" si="67"/>
        <v>0.15939222404290182</v>
      </c>
      <c r="AD57" s="3">
        <v>35.666666666666664</v>
      </c>
      <c r="AE57" s="3">
        <v>223.76666666666668</v>
      </c>
      <c r="AF57" s="39">
        <f t="shared" si="68"/>
        <v>0.92506395972600486</v>
      </c>
      <c r="AG57" s="3">
        <v>373.63333333333333</v>
      </c>
      <c r="AH57" s="3">
        <v>403.9</v>
      </c>
      <c r="AI57" s="63">
        <f t="shared" si="82"/>
        <v>414.7</v>
      </c>
      <c r="AJ57" s="7">
        <f t="shared" si="91"/>
        <v>0.27755839635901214</v>
      </c>
      <c r="AK57" s="26">
        <f t="shared" si="83"/>
        <v>1494.1</v>
      </c>
      <c r="AL57" s="93">
        <f t="shared" si="84"/>
        <v>16989.484985714287</v>
      </c>
      <c r="AM57" s="7">
        <f t="shared" ref="AM57:AM63" si="92">AL57/AN57</f>
        <v>0.53831554462724596</v>
      </c>
      <c r="AN57" s="3">
        <f t="shared" si="85"/>
        <v>31560.457719047616</v>
      </c>
      <c r="AO57" s="7">
        <f t="shared" si="86"/>
        <v>0.21389937400729375</v>
      </c>
      <c r="AP57" s="7">
        <f t="shared" si="87"/>
        <v>0.63825099916685435</v>
      </c>
      <c r="AQ57" s="94">
        <f t="shared" si="88"/>
        <v>0.96501717357183037</v>
      </c>
    </row>
    <row r="58" spans="1:43" x14ac:dyDescent="0.15">
      <c r="A58" s="177">
        <v>42064</v>
      </c>
      <c r="B58" s="25">
        <f t="shared" si="54"/>
        <v>0.10269805174850961</v>
      </c>
      <c r="C58" s="51">
        <v>238.71428571428572</v>
      </c>
      <c r="D58" s="3">
        <v>2324.4285714285716</v>
      </c>
      <c r="E58" s="39">
        <f t="shared" si="55"/>
        <v>0.61756740845402103</v>
      </c>
      <c r="F58" s="51">
        <v>749.28571428571433</v>
      </c>
      <c r="G58" s="3">
        <v>1213.2857142857142</v>
      </c>
      <c r="H58" s="39">
        <f t="shared" si="56"/>
        <v>0.91075376884422121</v>
      </c>
      <c r="I58" s="51">
        <v>647.28571428571433</v>
      </c>
      <c r="J58" s="3">
        <v>710.71428571428567</v>
      </c>
      <c r="K58" s="63">
        <f t="shared" ref="K58:K63" si="93">SUM(C58+F58+I58)</f>
        <v>1635.2857142857142</v>
      </c>
      <c r="L58" s="7">
        <f t="shared" si="89"/>
        <v>0.38491543091563263</v>
      </c>
      <c r="M58" s="26">
        <f t="shared" ref="M58:M63" si="94">SUM(J58+G58+D58)</f>
        <v>4248.4285714285716</v>
      </c>
      <c r="N58" s="45">
        <f t="shared" si="60"/>
        <v>0.27577634648130855</v>
      </c>
      <c r="O58" s="3">
        <v>3428.4764838709675</v>
      </c>
      <c r="P58" s="174">
        <v>12432.090451612903</v>
      </c>
      <c r="Q58" s="39">
        <f t="shared" si="61"/>
        <v>0.64631489138257192</v>
      </c>
      <c r="R58" s="3">
        <v>3334.2585483870967</v>
      </c>
      <c r="S58" s="3">
        <v>5158.8762580645162</v>
      </c>
      <c r="T58" s="39">
        <f t="shared" si="62"/>
        <v>0.9636321847069157</v>
      </c>
      <c r="U58" s="3">
        <v>5415.3532258064524</v>
      </c>
      <c r="V58" s="3">
        <v>5619.7305483870978</v>
      </c>
      <c r="W58" s="63">
        <f t="shared" ref="W58:W63" si="95">+U58+O58+R58</f>
        <v>12178.088258064518</v>
      </c>
      <c r="X58" s="7">
        <f t="shared" si="90"/>
        <v>0.52467567530024384</v>
      </c>
      <c r="Y58" s="24">
        <f t="shared" ref="Y58:Y63" si="96">+V58+S58+P58</f>
        <v>23210.697258064516</v>
      </c>
      <c r="Z58" s="25">
        <f t="shared" si="66"/>
        <v>6.3879649228908379E-3</v>
      </c>
      <c r="AA58" s="3">
        <v>5.4516129032258061</v>
      </c>
      <c r="AB58" s="3">
        <v>853.41935483870964</v>
      </c>
      <c r="AC58" s="39">
        <f t="shared" si="67"/>
        <v>0.15823037066560383</v>
      </c>
      <c r="AD58" s="3">
        <v>38.41935483870968</v>
      </c>
      <c r="AE58" s="3">
        <v>242.80645161290323</v>
      </c>
      <c r="AF58" s="39">
        <f t="shared" si="68"/>
        <v>0.97340976036939741</v>
      </c>
      <c r="AG58" s="3">
        <v>394.41935483870969</v>
      </c>
      <c r="AH58" s="3">
        <v>405.19354838709677</v>
      </c>
      <c r="AI58" s="63">
        <f t="shared" ref="AI58:AI63" si="97">AG58+AD58+AA58</f>
        <v>438.29032258064518</v>
      </c>
      <c r="AJ58" s="7">
        <f t="shared" si="91"/>
        <v>0.29191732554142319</v>
      </c>
      <c r="AK58" s="26">
        <f t="shared" ref="AK58:AK63" si="98">+AH58+AE58+AB58</f>
        <v>1501.4193548387098</v>
      </c>
      <c r="AL58" s="93">
        <f t="shared" ref="AL58:AL63" si="99">+AI58+W58+K58</f>
        <v>14251.664294930877</v>
      </c>
      <c r="AM58" s="7">
        <f t="shared" si="92"/>
        <v>0.49210621568827706</v>
      </c>
      <c r="AN58" s="3">
        <f t="shared" ref="AN58:AN63" si="100">+AK58+Y58+M58</f>
        <v>28960.545184331797</v>
      </c>
      <c r="AO58" s="7">
        <f t="shared" ref="AO58:AO63" si="101">(+AA58+O58+C58)/(D58+P58+AB58)</f>
        <v>0.23527590523308783</v>
      </c>
      <c r="AP58" s="7">
        <f t="shared" ref="AP58:AP63" si="102">(+AD58+R58+F58)/(G58+S58+AE58)</f>
        <v>0.62312672613514708</v>
      </c>
      <c r="AQ58" s="94">
        <f t="shared" ref="AQ58:AQ63" si="103">(AG58+U58+I58)/(AH58+V58+J58)</f>
        <v>0.95864087830459188</v>
      </c>
    </row>
    <row r="59" spans="1:43" x14ac:dyDescent="0.15">
      <c r="A59" s="177">
        <v>42036</v>
      </c>
      <c r="B59" s="25">
        <f t="shared" si="54"/>
        <v>0.10442604069544233</v>
      </c>
      <c r="C59" s="51">
        <v>272</v>
      </c>
      <c r="D59" s="3">
        <v>2604.7142857142858</v>
      </c>
      <c r="E59" s="39">
        <f t="shared" si="55"/>
        <v>0.60243575188357934</v>
      </c>
      <c r="F59" s="51">
        <v>833.85714285714289</v>
      </c>
      <c r="G59" s="3">
        <v>1384.1428571428571</v>
      </c>
      <c r="H59" s="39">
        <f t="shared" si="56"/>
        <v>0.97736093143596381</v>
      </c>
      <c r="I59" s="51">
        <v>647.57142857142856</v>
      </c>
      <c r="J59" s="3">
        <v>662.57142857142856</v>
      </c>
      <c r="K59" s="63">
        <f t="shared" si="93"/>
        <v>1753.4285714285716</v>
      </c>
      <c r="L59" s="7">
        <f t="shared" ref="L59:L65" si="104">K59/M59</f>
        <v>0.37696560196560197</v>
      </c>
      <c r="M59" s="26">
        <f t="shared" si="94"/>
        <v>4651.4285714285716</v>
      </c>
      <c r="N59" s="45">
        <f t="shared" si="60"/>
        <v>0.26247787137947315</v>
      </c>
      <c r="O59" s="3">
        <v>3816.5907142857141</v>
      </c>
      <c r="P59" s="174">
        <v>14540.618964285715</v>
      </c>
      <c r="Q59" s="39">
        <f t="shared" si="61"/>
        <v>0.6448346076550715</v>
      </c>
      <c r="R59" s="3">
        <v>3748.8385714285714</v>
      </c>
      <c r="S59" s="3">
        <v>5813.6435714285708</v>
      </c>
      <c r="T59" s="39">
        <f t="shared" si="62"/>
        <v>0.9626812771813984</v>
      </c>
      <c r="U59" s="3">
        <v>7367.7460357142854</v>
      </c>
      <c r="V59" s="3">
        <v>7653.3596428571427</v>
      </c>
      <c r="W59" s="63">
        <f t="shared" si="95"/>
        <v>14933.175321428571</v>
      </c>
      <c r="X59" s="7">
        <f t="shared" ref="X59:X65" si="105">W59/Y59</f>
        <v>0.53318254674450405</v>
      </c>
      <c r="Y59" s="24">
        <f t="shared" si="96"/>
        <v>28007.62217857143</v>
      </c>
      <c r="Z59" s="25">
        <f t="shared" si="66"/>
        <v>5.7319530327242406E-3</v>
      </c>
      <c r="AA59" s="3">
        <v>5.8928571428571432</v>
      </c>
      <c r="AB59" s="3">
        <v>1028.0714285714287</v>
      </c>
      <c r="AC59" s="39">
        <f t="shared" si="67"/>
        <v>0.15329606033025611</v>
      </c>
      <c r="AD59" s="3">
        <v>42.107142857142854</v>
      </c>
      <c r="AE59" s="3">
        <v>274.67857142857144</v>
      </c>
      <c r="AF59" s="39">
        <f t="shared" si="68"/>
        <v>0.9600250963520659</v>
      </c>
      <c r="AG59" s="3">
        <v>382.53571428571428</v>
      </c>
      <c r="AH59" s="3">
        <v>398.46428571428572</v>
      </c>
      <c r="AI59" s="63">
        <f t="shared" si="97"/>
        <v>430.53571428571428</v>
      </c>
      <c r="AJ59" s="7">
        <f t="shared" ref="AJ59:AJ65" si="106">AI59/AK59</f>
        <v>0.25307553428223534</v>
      </c>
      <c r="AK59" s="26">
        <f t="shared" si="98"/>
        <v>1701.2142857142858</v>
      </c>
      <c r="AL59" s="93">
        <f t="shared" si="99"/>
        <v>17117.139607142857</v>
      </c>
      <c r="AM59" s="7">
        <f t="shared" si="92"/>
        <v>0.49816669310761108</v>
      </c>
      <c r="AN59" s="3">
        <f t="shared" si="100"/>
        <v>34360.265035714285</v>
      </c>
      <c r="AO59" s="7">
        <f t="shared" si="101"/>
        <v>0.22530085274865677</v>
      </c>
      <c r="AP59" s="7">
        <f t="shared" si="102"/>
        <v>0.61891261546796905</v>
      </c>
      <c r="AQ59" s="94">
        <f t="shared" si="103"/>
        <v>0.96367594473299056</v>
      </c>
    </row>
    <row r="60" spans="1:43" x14ac:dyDescent="0.15">
      <c r="A60" s="177">
        <v>42005</v>
      </c>
      <c r="B60" s="25">
        <f t="shared" si="54"/>
        <v>0.11039310716208939</v>
      </c>
      <c r="C60" s="51">
        <v>292.85714285714283</v>
      </c>
      <c r="D60" s="3">
        <v>2652.8571428571427</v>
      </c>
      <c r="E60" s="39">
        <f t="shared" si="55"/>
        <v>0.62652916793044189</v>
      </c>
      <c r="F60" s="51">
        <v>885.28571428571433</v>
      </c>
      <c r="G60" s="3">
        <v>1413</v>
      </c>
      <c r="H60" s="39">
        <f t="shared" si="56"/>
        <v>0.86882865440464674</v>
      </c>
      <c r="I60" s="51">
        <v>769.28571428571433</v>
      </c>
      <c r="J60" s="3">
        <v>885.42857142857144</v>
      </c>
      <c r="K60" s="63">
        <f t="shared" si="93"/>
        <v>1947.4285714285716</v>
      </c>
      <c r="L60" s="7">
        <f t="shared" si="104"/>
        <v>0.39331775296459803</v>
      </c>
      <c r="M60" s="26">
        <f t="shared" si="94"/>
        <v>4951.2857142857138</v>
      </c>
      <c r="N60" s="45">
        <f t="shared" si="60"/>
        <v>0.27560363215778688</v>
      </c>
      <c r="O60" s="3">
        <v>3822.4762903225806</v>
      </c>
      <c r="P60" s="174">
        <v>13869.46993548387</v>
      </c>
      <c r="Q60" s="39">
        <f t="shared" si="61"/>
        <v>0.63609644947752741</v>
      </c>
      <c r="R60" s="3">
        <v>3502.0212258064516</v>
      </c>
      <c r="S60" s="3">
        <v>5505.4877741935488</v>
      </c>
      <c r="T60" s="39">
        <f t="shared" si="62"/>
        <v>0.97097826521838704</v>
      </c>
      <c r="U60" s="3">
        <v>7537.4500645161288</v>
      </c>
      <c r="V60" s="3">
        <v>7762.7381935483872</v>
      </c>
      <c r="W60" s="63">
        <f t="shared" si="95"/>
        <v>14861.947580645161</v>
      </c>
      <c r="X60" s="7">
        <f t="shared" si="105"/>
        <v>0.54764957325940666</v>
      </c>
      <c r="Y60" s="24">
        <f t="shared" si="96"/>
        <v>27137.695903225806</v>
      </c>
      <c r="Z60" s="25">
        <f t="shared" si="66"/>
        <v>5.904710194108864E-3</v>
      </c>
      <c r="AA60" s="3">
        <v>5.612903225806452</v>
      </c>
      <c r="AB60" s="3">
        <v>950.58064516129036</v>
      </c>
      <c r="AC60" s="39">
        <f t="shared" si="67"/>
        <v>0.14822629566134773</v>
      </c>
      <c r="AD60" s="3">
        <v>36.258064516129032</v>
      </c>
      <c r="AE60" s="3">
        <v>244.61290322580646</v>
      </c>
      <c r="AF60" s="39">
        <f t="shared" si="68"/>
        <v>0.95663464035315493</v>
      </c>
      <c r="AG60" s="3">
        <v>356.51612903225805</v>
      </c>
      <c r="AH60" s="3">
        <v>372.67741935483872</v>
      </c>
      <c r="AI60" s="63">
        <f t="shared" si="97"/>
        <v>398.38709677419354</v>
      </c>
      <c r="AJ60" s="7">
        <f t="shared" si="106"/>
        <v>0.25409431322524895</v>
      </c>
      <c r="AK60" s="26">
        <f t="shared" si="98"/>
        <v>1567.8709677419356</v>
      </c>
      <c r="AL60" s="93">
        <f t="shared" si="99"/>
        <v>17207.763248847925</v>
      </c>
      <c r="AM60" s="7">
        <f t="shared" si="92"/>
        <v>0.51127071984108829</v>
      </c>
      <c r="AN60" s="3">
        <f t="shared" si="100"/>
        <v>33656.852585253451</v>
      </c>
      <c r="AO60" s="7">
        <f t="shared" si="101"/>
        <v>0.23584777082423231</v>
      </c>
      <c r="AP60" s="7">
        <f t="shared" si="102"/>
        <v>0.61754890847101285</v>
      </c>
      <c r="AQ60" s="94">
        <f t="shared" si="103"/>
        <v>0.96035933342925994</v>
      </c>
    </row>
    <row r="61" spans="1:43" x14ac:dyDescent="0.15">
      <c r="A61" s="177">
        <v>41974</v>
      </c>
      <c r="B61" s="25">
        <f t="shared" si="54"/>
        <v>0.11407274895646988</v>
      </c>
      <c r="C61" s="51">
        <v>273.28571428571428</v>
      </c>
      <c r="D61" s="3">
        <v>2395.7142857142858</v>
      </c>
      <c r="E61" s="39">
        <f t="shared" si="55"/>
        <v>0.61448653800333575</v>
      </c>
      <c r="F61" s="51">
        <v>736.85714285714289</v>
      </c>
      <c r="G61" s="3">
        <v>1199.1428571428571</v>
      </c>
      <c r="H61" s="39">
        <f t="shared" si="56"/>
        <v>0.99239636987981361</v>
      </c>
      <c r="I61" s="51">
        <v>578</v>
      </c>
      <c r="J61" s="3">
        <v>582.42857142857144</v>
      </c>
      <c r="K61" s="63">
        <f t="shared" si="93"/>
        <v>1588.1428571428571</v>
      </c>
      <c r="L61" s="7">
        <f t="shared" si="104"/>
        <v>0.38018535617796934</v>
      </c>
      <c r="M61" s="26">
        <f t="shared" si="94"/>
        <v>4177.2857142857138</v>
      </c>
      <c r="N61" s="45">
        <f t="shared" si="60"/>
        <v>0.2947623154554293</v>
      </c>
      <c r="O61" s="3">
        <v>3643.9810967741937</v>
      </c>
      <c r="P61" s="174">
        <v>12362.438838709679</v>
      </c>
      <c r="Q61" s="39">
        <f t="shared" si="61"/>
        <v>0.62990683686020454</v>
      </c>
      <c r="R61" s="3">
        <v>3362.9290645161291</v>
      </c>
      <c r="S61" s="3">
        <v>5338.7721290322579</v>
      </c>
      <c r="T61" s="39">
        <f t="shared" si="62"/>
        <v>0.95964331216197063</v>
      </c>
      <c r="U61" s="3">
        <v>7721.5070000000005</v>
      </c>
      <c r="V61" s="3">
        <v>8046.2260322580651</v>
      </c>
      <c r="W61" s="63">
        <f t="shared" si="95"/>
        <v>14728.417161290323</v>
      </c>
      <c r="X61" s="7">
        <f t="shared" si="105"/>
        <v>0.57203430233814423</v>
      </c>
      <c r="Y61" s="24">
        <f t="shared" si="96"/>
        <v>25747.437000000002</v>
      </c>
      <c r="Z61" s="25">
        <f t="shared" si="66"/>
        <v>7.6251110453064855E-3</v>
      </c>
      <c r="AA61" s="3">
        <v>6.645161290322581</v>
      </c>
      <c r="AB61" s="3">
        <v>871.48387096774195</v>
      </c>
      <c r="AC61" s="39">
        <f t="shared" si="67"/>
        <v>0.153042233357194</v>
      </c>
      <c r="AD61" s="3">
        <v>34.483870967741936</v>
      </c>
      <c r="AE61" s="3">
        <v>225.32258064516128</v>
      </c>
      <c r="AF61" s="39">
        <f t="shared" si="68"/>
        <v>0.95276887871853533</v>
      </c>
      <c r="AG61" s="3">
        <v>335.77419354838707</v>
      </c>
      <c r="AH61" s="3">
        <v>352.41935483870969</v>
      </c>
      <c r="AI61" s="63">
        <f t="shared" si="97"/>
        <v>376.90322580645159</v>
      </c>
      <c r="AJ61" s="7">
        <f t="shared" si="106"/>
        <v>0.26007211859502288</v>
      </c>
      <c r="AK61" s="26">
        <f t="shared" si="98"/>
        <v>1449.2258064516129</v>
      </c>
      <c r="AL61" s="93">
        <f t="shared" si="99"/>
        <v>16693.463244239632</v>
      </c>
      <c r="AM61" s="7">
        <f t="shared" si="92"/>
        <v>0.53208040528292788</v>
      </c>
      <c r="AN61" s="3">
        <f t="shared" si="100"/>
        <v>31373.948520737329</v>
      </c>
      <c r="AO61" s="7">
        <f t="shared" si="101"/>
        <v>0.25105586095871385</v>
      </c>
      <c r="AP61" s="7">
        <f t="shared" si="102"/>
        <v>0.61128565091714404</v>
      </c>
      <c r="AQ61" s="94">
        <f t="shared" si="103"/>
        <v>0.96149761525472011</v>
      </c>
    </row>
    <row r="62" spans="1:43" x14ac:dyDescent="0.15">
      <c r="A62" s="177">
        <v>41944</v>
      </c>
      <c r="B62" s="25">
        <f t="shared" si="54"/>
        <v>0.13327674023769098</v>
      </c>
      <c r="C62" s="51">
        <v>291.57142857142856</v>
      </c>
      <c r="D62" s="3">
        <v>2187.7142857142858</v>
      </c>
      <c r="E62" s="39">
        <f t="shared" si="55"/>
        <v>0.59740259740259738</v>
      </c>
      <c r="F62" s="51">
        <v>788.57142857142856</v>
      </c>
      <c r="G62" s="3">
        <v>1320</v>
      </c>
      <c r="H62" s="39">
        <f t="shared" si="56"/>
        <v>0.95051227527546878</v>
      </c>
      <c r="I62" s="51">
        <v>702.42857142857144</v>
      </c>
      <c r="J62" s="3">
        <v>739</v>
      </c>
      <c r="K62" s="63">
        <f t="shared" si="93"/>
        <v>1782.5714285714284</v>
      </c>
      <c r="L62" s="7">
        <f t="shared" si="104"/>
        <v>0.41975308641975301</v>
      </c>
      <c r="M62" s="26">
        <f t="shared" si="94"/>
        <v>4246.7142857142862</v>
      </c>
      <c r="N62" s="45">
        <f t="shared" si="60"/>
        <v>0.30556968952279856</v>
      </c>
      <c r="O62" s="3">
        <v>3211.3205333333331</v>
      </c>
      <c r="P62" s="174">
        <v>10509.290166666666</v>
      </c>
      <c r="Q62" s="39">
        <f t="shared" si="61"/>
        <v>0.61837567185075348</v>
      </c>
      <c r="R62" s="3">
        <v>3162.6464666666666</v>
      </c>
      <c r="S62" s="3">
        <v>5114.4419333333335</v>
      </c>
      <c r="T62" s="39">
        <f t="shared" si="62"/>
        <v>0.95864260911138899</v>
      </c>
      <c r="U62" s="3">
        <v>8705.7650000000012</v>
      </c>
      <c r="V62" s="3">
        <v>9081.3457666666673</v>
      </c>
      <c r="W62" s="63">
        <f t="shared" si="95"/>
        <v>15079.732000000002</v>
      </c>
      <c r="X62" s="7">
        <f t="shared" si="105"/>
        <v>0.61038998060987026</v>
      </c>
      <c r="Y62" s="24">
        <f t="shared" si="96"/>
        <v>24705.077866666667</v>
      </c>
      <c r="Z62" s="25">
        <f t="shared" si="66"/>
        <v>9.5834062664099419E-3</v>
      </c>
      <c r="AA62" s="3">
        <v>7.3</v>
      </c>
      <c r="AB62" s="3">
        <v>761.73333333333335</v>
      </c>
      <c r="AC62" s="39">
        <f t="shared" si="67"/>
        <v>0.28613445378151259</v>
      </c>
      <c r="AD62" s="3">
        <v>68.099999999999994</v>
      </c>
      <c r="AE62" s="3">
        <v>238</v>
      </c>
      <c r="AF62" s="39">
        <f t="shared" si="68"/>
        <v>0.95328022912378063</v>
      </c>
      <c r="AG62" s="3">
        <v>355.03333333333336</v>
      </c>
      <c r="AH62" s="3">
        <v>372.43333333333334</v>
      </c>
      <c r="AI62" s="63">
        <f t="shared" si="97"/>
        <v>430.43333333333334</v>
      </c>
      <c r="AJ62" s="7">
        <f t="shared" si="106"/>
        <v>0.31368881331227982</v>
      </c>
      <c r="AK62" s="26">
        <f t="shared" si="98"/>
        <v>1372.1666666666667</v>
      </c>
      <c r="AL62" s="93">
        <f t="shared" si="99"/>
        <v>17292.736761904762</v>
      </c>
      <c r="AM62" s="7">
        <f t="shared" si="92"/>
        <v>0.57026646372578971</v>
      </c>
      <c r="AN62" s="3">
        <f t="shared" si="100"/>
        <v>30323.958819047621</v>
      </c>
      <c r="AO62" s="7">
        <f t="shared" si="101"/>
        <v>0.26081137903070217</v>
      </c>
      <c r="AP62" s="7">
        <f t="shared" si="102"/>
        <v>0.60237585210879085</v>
      </c>
      <c r="AQ62" s="94">
        <f t="shared" si="103"/>
        <v>0.95785720547616937</v>
      </c>
    </row>
    <row r="63" spans="1:43" x14ac:dyDescent="0.15">
      <c r="A63" s="177">
        <v>41926</v>
      </c>
      <c r="B63" s="25">
        <f t="shared" si="54"/>
        <v>0.13827277017461068</v>
      </c>
      <c r="C63" s="51">
        <v>293</v>
      </c>
      <c r="D63" s="3">
        <v>2119</v>
      </c>
      <c r="E63" s="39">
        <f t="shared" si="55"/>
        <v>0.5843325339728217</v>
      </c>
      <c r="F63" s="51">
        <v>731</v>
      </c>
      <c r="G63" s="3">
        <v>1251</v>
      </c>
      <c r="H63" s="39">
        <f t="shared" si="56"/>
        <v>0.93266832917705733</v>
      </c>
      <c r="I63" s="51">
        <v>748</v>
      </c>
      <c r="J63" s="3">
        <v>802</v>
      </c>
      <c r="K63" s="63">
        <f t="shared" si="93"/>
        <v>1772</v>
      </c>
      <c r="L63" s="7">
        <f t="shared" si="104"/>
        <v>0.42473633748801531</v>
      </c>
      <c r="M63" s="26">
        <f t="shared" si="94"/>
        <v>4172</v>
      </c>
      <c r="N63" s="45">
        <f t="shared" si="60"/>
        <v>0.31360214499329692</v>
      </c>
      <c r="O63" s="3">
        <v>3041</v>
      </c>
      <c r="P63" s="174">
        <v>9697</v>
      </c>
      <c r="Q63" s="39">
        <f t="shared" si="61"/>
        <v>0.61288483466362598</v>
      </c>
      <c r="R63" s="3">
        <v>3225</v>
      </c>
      <c r="S63" s="3">
        <v>5262</v>
      </c>
      <c r="T63" s="39">
        <f t="shared" si="62"/>
        <v>0.96155946270612647</v>
      </c>
      <c r="U63" s="3">
        <v>8805</v>
      </c>
      <c r="V63" s="3">
        <v>9157</v>
      </c>
      <c r="W63" s="63">
        <f t="shared" si="95"/>
        <v>15071</v>
      </c>
      <c r="X63" s="7">
        <f t="shared" si="105"/>
        <v>0.62493780063028692</v>
      </c>
      <c r="Y63" s="24">
        <f t="shared" si="96"/>
        <v>24116</v>
      </c>
      <c r="Z63" s="25">
        <f t="shared" si="66"/>
        <v>1.0914051841746248E-2</v>
      </c>
      <c r="AA63" s="3">
        <v>8</v>
      </c>
      <c r="AB63" s="3">
        <v>733</v>
      </c>
      <c r="AC63" s="39">
        <f t="shared" si="67"/>
        <v>0.50806451612903225</v>
      </c>
      <c r="AD63" s="3">
        <v>126</v>
      </c>
      <c r="AE63" s="3">
        <v>248</v>
      </c>
      <c r="AF63" s="39">
        <f t="shared" si="68"/>
        <v>0.94025974025974024</v>
      </c>
      <c r="AG63" s="3">
        <v>362</v>
      </c>
      <c r="AH63" s="3">
        <v>385</v>
      </c>
      <c r="AI63" s="63">
        <f t="shared" si="97"/>
        <v>496</v>
      </c>
      <c r="AJ63" s="7">
        <f t="shared" si="106"/>
        <v>0.36310395314787702</v>
      </c>
      <c r="AK63" s="26">
        <f t="shared" si="98"/>
        <v>1366</v>
      </c>
      <c r="AL63" s="93">
        <f t="shared" si="99"/>
        <v>17339</v>
      </c>
      <c r="AM63" s="7">
        <f t="shared" si="92"/>
        <v>0.58471032575706483</v>
      </c>
      <c r="AN63" s="3">
        <f t="shared" si="100"/>
        <v>29654</v>
      </c>
      <c r="AO63" s="7">
        <f t="shared" si="101"/>
        <v>0.26631604111881424</v>
      </c>
      <c r="AP63" s="7">
        <f t="shared" si="102"/>
        <v>0.6037568407040379</v>
      </c>
      <c r="AQ63" s="94">
        <f t="shared" si="103"/>
        <v>0.95852668213457082</v>
      </c>
    </row>
    <row r="64" spans="1:43" x14ac:dyDescent="0.15">
      <c r="A64" s="177">
        <v>41883</v>
      </c>
      <c r="B64" s="25">
        <f t="shared" si="54"/>
        <v>0.14301897479467571</v>
      </c>
      <c r="C64" s="51">
        <v>288.57142857142856</v>
      </c>
      <c r="D64" s="3">
        <v>2017.7142857142858</v>
      </c>
      <c r="E64" s="39">
        <f t="shared" si="55"/>
        <v>0.57187639946260627</v>
      </c>
      <c r="F64" s="51">
        <v>729.71428571428567</v>
      </c>
      <c r="G64" s="3">
        <v>1276</v>
      </c>
      <c r="H64" s="39">
        <f t="shared" si="56"/>
        <v>0.9552968960863697</v>
      </c>
      <c r="I64" s="51">
        <v>809</v>
      </c>
      <c r="J64" s="3">
        <v>846.85714285714289</v>
      </c>
      <c r="K64" s="63">
        <f t="shared" ref="K64:K69" si="107">SUM(C64+F64+I64)</f>
        <v>1827.2857142857142</v>
      </c>
      <c r="L64" s="7">
        <f t="shared" si="104"/>
        <v>0.44131244824730875</v>
      </c>
      <c r="M64" s="26">
        <f t="shared" ref="M64:M69" si="108">SUM(J64+G64+D64)</f>
        <v>4140.5714285714294</v>
      </c>
      <c r="N64" s="45">
        <f t="shared" si="60"/>
        <v>0.3228441549577219</v>
      </c>
      <c r="O64" s="3">
        <v>3663.4977666666668</v>
      </c>
      <c r="P64" s="174">
        <v>11347.573466666667</v>
      </c>
      <c r="Q64" s="39">
        <f t="shared" si="61"/>
        <v>0.60026728757497871</v>
      </c>
      <c r="R64" s="3">
        <v>3652.1662999999999</v>
      </c>
      <c r="S64" s="3">
        <v>6084.2334333333329</v>
      </c>
      <c r="T64" s="39">
        <f t="shared" si="62"/>
        <v>0.95606065854391364</v>
      </c>
      <c r="U64" s="3">
        <v>8941.7112666666671</v>
      </c>
      <c r="V64" s="3">
        <v>9352.6610333333338</v>
      </c>
      <c r="W64" s="63">
        <f t="shared" ref="W64:W69" si="109">+U64+O64+R64</f>
        <v>16257.375333333333</v>
      </c>
      <c r="X64" s="7">
        <f t="shared" si="105"/>
        <v>0.60697025506715374</v>
      </c>
      <c r="Y64" s="24">
        <f t="shared" ref="Y64:Y69" si="110">+V64+S64+P64</f>
        <v>26784.467933333333</v>
      </c>
      <c r="Z64" s="25">
        <f t="shared" si="66"/>
        <v>1.15868305779285E-2</v>
      </c>
      <c r="AA64" s="3">
        <v>8.1999999999999993</v>
      </c>
      <c r="AB64" s="3">
        <v>707.7</v>
      </c>
      <c r="AC64" s="39">
        <f t="shared" si="67"/>
        <v>0.41537499999999999</v>
      </c>
      <c r="AD64" s="3">
        <v>110.76666666666667</v>
      </c>
      <c r="AE64" s="3">
        <v>266.66666666666669</v>
      </c>
      <c r="AF64" s="39">
        <f t="shared" si="68"/>
        <v>0.94783534421575577</v>
      </c>
      <c r="AG64" s="3">
        <v>356.13333333333333</v>
      </c>
      <c r="AH64" s="3">
        <v>375.73333333333335</v>
      </c>
      <c r="AI64" s="63">
        <f t="shared" ref="AI64:AI69" si="111">AG64+AD64+AA64</f>
        <v>475.09999999999997</v>
      </c>
      <c r="AJ64" s="7">
        <f t="shared" si="106"/>
        <v>0.35189985926968365</v>
      </c>
      <c r="AK64" s="26">
        <f t="shared" ref="AK64:AK69" si="112">+AH64+AE64+AB64</f>
        <v>1350.1000000000001</v>
      </c>
      <c r="AL64" s="93">
        <f t="shared" ref="AL64:AL69" si="113">+AI64+W64+K64</f>
        <v>18559.761047619046</v>
      </c>
      <c r="AM64" s="7">
        <f t="shared" ref="AM64:AM70" si="114">AL64/AN64</f>
        <v>0.57504820783285748</v>
      </c>
      <c r="AN64" s="3">
        <f t="shared" ref="AN64:AN69" si="115">+AK64+Y64+M64</f>
        <v>32275.139361904759</v>
      </c>
      <c r="AO64" s="7">
        <f t="shared" ref="AO64:AO69" si="116">(+AA64+O64+C64)/(D64+P64+AB64)</f>
        <v>0.28140926894277107</v>
      </c>
      <c r="AP64" s="7">
        <f t="shared" ref="AP64:AP69" si="117">(+AD64+R64+F64)/(G64+S64+AE64)</f>
        <v>0.58905285154855413</v>
      </c>
      <c r="AQ64" s="94">
        <f t="shared" ref="AQ64:AQ69" si="118">(AG64+U64+I64)/(AH64+V64+J64)</f>
        <v>0.95570725584143557</v>
      </c>
    </row>
    <row r="65" spans="1:43" x14ac:dyDescent="0.15">
      <c r="A65" s="177">
        <v>41852</v>
      </c>
      <c r="B65" s="25">
        <f t="shared" si="54"/>
        <v>0.14796668299853016</v>
      </c>
      <c r="C65" s="51">
        <v>345.14285714285717</v>
      </c>
      <c r="D65" s="3">
        <v>2332.5714285714284</v>
      </c>
      <c r="E65" s="39">
        <f t="shared" si="55"/>
        <v>0.57450646357350432</v>
      </c>
      <c r="F65" s="51">
        <v>819</v>
      </c>
      <c r="G65" s="3">
        <v>1425.5714285714287</v>
      </c>
      <c r="H65" s="39">
        <f t="shared" si="56"/>
        <v>0.93734836591979454</v>
      </c>
      <c r="I65" s="51">
        <v>938.28571428571433</v>
      </c>
      <c r="J65" s="3">
        <v>1001</v>
      </c>
      <c r="K65" s="63">
        <f t="shared" si="107"/>
        <v>2102.4285714285716</v>
      </c>
      <c r="L65" s="7">
        <f t="shared" si="104"/>
        <v>0.44176622441015795</v>
      </c>
      <c r="M65" s="26">
        <f t="shared" si="108"/>
        <v>4759.1428571428569</v>
      </c>
      <c r="N65" s="45">
        <f t="shared" si="60"/>
        <v>0.33212449626882445</v>
      </c>
      <c r="O65" s="3">
        <v>3884.9064838709678</v>
      </c>
      <c r="P65" s="174">
        <v>11697.139258064515</v>
      </c>
      <c r="Q65" s="39">
        <f t="shared" si="61"/>
        <v>0.58928343633976499</v>
      </c>
      <c r="R65" s="3">
        <v>3606.1722258064519</v>
      </c>
      <c r="S65" s="3">
        <v>6119.5886451612905</v>
      </c>
      <c r="T65" s="39">
        <f t="shared" si="62"/>
        <v>0.96189314696295536</v>
      </c>
      <c r="U65" s="3">
        <v>8655.3153548387108</v>
      </c>
      <c r="V65" s="3">
        <v>8998.2087741935502</v>
      </c>
      <c r="W65" s="63">
        <f t="shared" si="109"/>
        <v>16146.394064516131</v>
      </c>
      <c r="X65" s="7">
        <f t="shared" si="105"/>
        <v>0.60214179353676722</v>
      </c>
      <c r="Y65" s="24">
        <f t="shared" si="110"/>
        <v>26814.936677419355</v>
      </c>
      <c r="Z65" s="25">
        <f t="shared" si="66"/>
        <v>1.2026745397707537E-2</v>
      </c>
      <c r="AA65" s="3">
        <v>8.935483870967742</v>
      </c>
      <c r="AB65" s="3">
        <v>742.9677419354839</v>
      </c>
      <c r="AC65" s="39">
        <f t="shared" si="67"/>
        <v>0.47891604406736732</v>
      </c>
      <c r="AD65" s="3">
        <v>122</v>
      </c>
      <c r="AE65" s="3">
        <v>254.74193548387098</v>
      </c>
      <c r="AF65" s="39">
        <f t="shared" si="68"/>
        <v>0.95442775763852916</v>
      </c>
      <c r="AG65" s="3">
        <v>356.70967741935482</v>
      </c>
      <c r="AH65" s="3">
        <v>373.74193548387098</v>
      </c>
      <c r="AI65" s="63">
        <f t="shared" si="111"/>
        <v>487.64516129032256</v>
      </c>
      <c r="AJ65" s="7">
        <f t="shared" si="106"/>
        <v>0.35556862283899798</v>
      </c>
      <c r="AK65" s="26">
        <f t="shared" si="112"/>
        <v>1371.4516129032259</v>
      </c>
      <c r="AL65" s="93">
        <f t="shared" si="113"/>
        <v>18736.467797235026</v>
      </c>
      <c r="AM65" s="7">
        <f t="shared" si="114"/>
        <v>0.56871044856948549</v>
      </c>
      <c r="AN65" s="3">
        <f t="shared" si="115"/>
        <v>32945.531147465437</v>
      </c>
      <c r="AO65" s="7">
        <f t="shared" si="116"/>
        <v>0.28694761382514694</v>
      </c>
      <c r="AP65" s="7">
        <f t="shared" si="117"/>
        <v>0.58297812208837774</v>
      </c>
      <c r="AQ65" s="94">
        <f t="shared" si="118"/>
        <v>0.95925557009160933</v>
      </c>
    </row>
    <row r="66" spans="1:43" x14ac:dyDescent="0.15">
      <c r="A66" s="177">
        <v>41821</v>
      </c>
      <c r="B66" s="25">
        <f t="shared" si="54"/>
        <v>0.15267953864780476</v>
      </c>
      <c r="C66" s="51">
        <v>342.28571428571428</v>
      </c>
      <c r="D66" s="3">
        <v>2241.8571428571427</v>
      </c>
      <c r="E66" s="39">
        <f t="shared" si="55"/>
        <v>0.58457661290322582</v>
      </c>
      <c r="F66" s="51">
        <v>828.42857142857144</v>
      </c>
      <c r="G66" s="3">
        <v>1417.1428571428571</v>
      </c>
      <c r="H66" s="39">
        <f t="shared" si="56"/>
        <v>0.83652456647398843</v>
      </c>
      <c r="I66" s="51">
        <v>661.57142857142856</v>
      </c>
      <c r="J66" s="3">
        <v>790.85714285714289</v>
      </c>
      <c r="K66" s="63">
        <f t="shared" si="107"/>
        <v>1832.2857142857142</v>
      </c>
      <c r="L66" s="7">
        <f t="shared" ref="L66:L72" si="119">K66/M66</f>
        <v>0.41176281742592052</v>
      </c>
      <c r="M66" s="26">
        <f t="shared" si="108"/>
        <v>4449.8571428571431</v>
      </c>
      <c r="N66" s="45">
        <f t="shared" si="60"/>
        <v>0.33870146200890816</v>
      </c>
      <c r="O66" s="3">
        <v>3838.454677419355</v>
      </c>
      <c r="P66" s="174">
        <v>11332.85535483871</v>
      </c>
      <c r="Q66" s="39">
        <f t="shared" si="61"/>
        <v>0.59702815659488506</v>
      </c>
      <c r="R66" s="3">
        <v>3555.54535483871</v>
      </c>
      <c r="S66" s="3">
        <v>5955.4064838709683</v>
      </c>
      <c r="T66" s="39">
        <f t="shared" si="62"/>
        <v>0.96160326472266611</v>
      </c>
      <c r="U66" s="3">
        <v>7900.883935483871</v>
      </c>
      <c r="V66" s="3">
        <v>8216.3655483870971</v>
      </c>
      <c r="W66" s="63">
        <f t="shared" si="109"/>
        <v>15294.883967741936</v>
      </c>
      <c r="X66" s="7">
        <f t="shared" ref="X66:X72" si="120">W66/Y66</f>
        <v>0.59969054774271591</v>
      </c>
      <c r="Y66" s="24">
        <f t="shared" si="110"/>
        <v>25504.627387096774</v>
      </c>
      <c r="Z66" s="25">
        <f t="shared" si="66"/>
        <v>1.2795693847679304E-2</v>
      </c>
      <c r="AA66" s="3">
        <v>8.741935483870968</v>
      </c>
      <c r="AB66" s="3">
        <v>683.19354838709683</v>
      </c>
      <c r="AC66" s="39">
        <f t="shared" si="67"/>
        <v>0.47804940483809039</v>
      </c>
      <c r="AD66" s="3">
        <v>120.48387096774194</v>
      </c>
      <c r="AE66" s="3">
        <v>252.03225806451613</v>
      </c>
      <c r="AF66" s="39">
        <f t="shared" si="68"/>
        <v>0.96763552068473613</v>
      </c>
      <c r="AG66" s="3">
        <v>350.09677419354841</v>
      </c>
      <c r="AH66" s="3">
        <v>361.80645161290323</v>
      </c>
      <c r="AI66" s="63">
        <f t="shared" si="111"/>
        <v>479.32258064516134</v>
      </c>
      <c r="AJ66" s="7">
        <f t="shared" ref="AJ66:AJ72" si="121">AI66/AK66</f>
        <v>0.36955332272184643</v>
      </c>
      <c r="AK66" s="26">
        <f t="shared" si="112"/>
        <v>1297.0322580645161</v>
      </c>
      <c r="AL66" s="93">
        <f t="shared" si="113"/>
        <v>17606.492262672811</v>
      </c>
      <c r="AM66" s="7">
        <f t="shared" si="114"/>
        <v>0.56338040748866924</v>
      </c>
      <c r="AN66" s="3">
        <f t="shared" si="115"/>
        <v>31251.516788018431</v>
      </c>
      <c r="AO66" s="7">
        <f t="shared" si="116"/>
        <v>0.29383573672376029</v>
      </c>
      <c r="AP66" s="7">
        <f t="shared" si="117"/>
        <v>0.5907809810546879</v>
      </c>
      <c r="AQ66" s="94">
        <f t="shared" si="118"/>
        <v>0.95127808894091148</v>
      </c>
    </row>
    <row r="67" spans="1:43" x14ac:dyDescent="0.15">
      <c r="A67" s="177">
        <v>41791</v>
      </c>
      <c r="B67" s="25">
        <f t="shared" si="54"/>
        <v>0.1555422726970844</v>
      </c>
      <c r="C67" s="51">
        <v>334.57142857142856</v>
      </c>
      <c r="D67" s="3">
        <v>2151</v>
      </c>
      <c r="E67" s="39">
        <f t="shared" si="55"/>
        <v>0.58831865573438613</v>
      </c>
      <c r="F67" s="51">
        <v>830.28571428571433</v>
      </c>
      <c r="G67" s="3">
        <v>1411.2857142857142</v>
      </c>
      <c r="H67" s="39">
        <f t="shared" si="56"/>
        <v>0.82405533063427805</v>
      </c>
      <c r="I67" s="51">
        <v>697.85714285714289</v>
      </c>
      <c r="J67" s="3">
        <v>846.85714285714289</v>
      </c>
      <c r="K67" s="63">
        <f t="shared" si="107"/>
        <v>1862.7142857142858</v>
      </c>
      <c r="L67" s="7">
        <f t="shared" si="119"/>
        <v>0.42246630378434424</v>
      </c>
      <c r="M67" s="26">
        <f t="shared" si="108"/>
        <v>4409.1428571428569</v>
      </c>
      <c r="N67" s="45">
        <f t="shared" si="60"/>
        <v>0.34194279877158323</v>
      </c>
      <c r="O67" s="3">
        <v>3419.4593666666669</v>
      </c>
      <c r="P67" s="174">
        <v>10000.091766666668</v>
      </c>
      <c r="Q67" s="39">
        <f t="shared" si="61"/>
        <v>0.61375985788376797</v>
      </c>
      <c r="R67" s="3">
        <v>3366.0659999999998</v>
      </c>
      <c r="S67" s="3">
        <v>5484.3371666666662</v>
      </c>
      <c r="T67" s="39">
        <f t="shared" si="62"/>
        <v>0.96993931254469001</v>
      </c>
      <c r="U67" s="3">
        <v>8776.9896333333345</v>
      </c>
      <c r="V67" s="3">
        <v>9049.0090666666674</v>
      </c>
      <c r="W67" s="63">
        <f t="shared" si="109"/>
        <v>15562.514999999999</v>
      </c>
      <c r="X67" s="7">
        <f t="shared" si="120"/>
        <v>0.63433893773877104</v>
      </c>
      <c r="Y67" s="24">
        <f t="shared" si="110"/>
        <v>24533.438000000002</v>
      </c>
      <c r="Z67" s="25">
        <f t="shared" si="66"/>
        <v>1.310148836761235E-2</v>
      </c>
      <c r="AA67" s="3">
        <v>9.0666666666666664</v>
      </c>
      <c r="AB67" s="3">
        <v>692.0333333333333</v>
      </c>
      <c r="AC67" s="39">
        <f t="shared" si="67"/>
        <v>0.47901028634973586</v>
      </c>
      <c r="AD67" s="3">
        <v>114.86666666666666</v>
      </c>
      <c r="AE67" s="3">
        <v>239.8</v>
      </c>
      <c r="AF67" s="39">
        <f t="shared" si="68"/>
        <v>0.9583895030106947</v>
      </c>
      <c r="AG67" s="3">
        <v>355.46666666666664</v>
      </c>
      <c r="AH67" s="3">
        <v>370.9</v>
      </c>
      <c r="AI67" s="63">
        <f t="shared" si="111"/>
        <v>479.4</v>
      </c>
      <c r="AJ67" s="7">
        <f t="shared" si="121"/>
        <v>0.36799549664807324</v>
      </c>
      <c r="AK67" s="26">
        <f t="shared" si="112"/>
        <v>1302.7333333333333</v>
      </c>
      <c r="AL67" s="93">
        <f t="shared" si="113"/>
        <v>17904.629285714283</v>
      </c>
      <c r="AM67" s="7">
        <f t="shared" si="114"/>
        <v>0.59198027082661908</v>
      </c>
      <c r="AN67" s="3">
        <f t="shared" si="115"/>
        <v>30245.314190476194</v>
      </c>
      <c r="AO67" s="7">
        <f t="shared" si="116"/>
        <v>0.29300481250507804</v>
      </c>
      <c r="AP67" s="7">
        <f t="shared" si="117"/>
        <v>0.60419942207783395</v>
      </c>
      <c r="AQ67" s="94">
        <f t="shared" si="118"/>
        <v>0.95748877906055785</v>
      </c>
    </row>
    <row r="68" spans="1:43" x14ac:dyDescent="0.15">
      <c r="A68" s="177">
        <v>41760</v>
      </c>
      <c r="B68" s="25">
        <f t="shared" si="54"/>
        <v>0.15212909646690836</v>
      </c>
      <c r="C68" s="51">
        <v>305.71428571428572</v>
      </c>
      <c r="D68" s="3">
        <v>2009.5714285714287</v>
      </c>
      <c r="E68" s="39">
        <f t="shared" si="55"/>
        <v>0.59061214614081781</v>
      </c>
      <c r="F68" s="51">
        <v>697.42857142857144</v>
      </c>
      <c r="G68" s="3">
        <v>1180.8571428571429</v>
      </c>
      <c r="H68" s="39">
        <f t="shared" si="56"/>
        <v>0.93069306930693074</v>
      </c>
      <c r="I68" s="51">
        <v>684.85714285714289</v>
      </c>
      <c r="J68" s="3">
        <v>735.85714285714289</v>
      </c>
      <c r="K68" s="63">
        <f t="shared" si="107"/>
        <v>1688</v>
      </c>
      <c r="L68" s="7">
        <f t="shared" si="119"/>
        <v>0.42992286421190506</v>
      </c>
      <c r="M68" s="26">
        <f t="shared" si="108"/>
        <v>3926.2857142857147</v>
      </c>
      <c r="N68" s="45">
        <f t="shared" si="60"/>
        <v>0.33918387781841763</v>
      </c>
      <c r="O68" s="3">
        <v>3363.1422903225803</v>
      </c>
      <c r="P68" s="174">
        <v>9915.3954838709669</v>
      </c>
      <c r="Q68" s="39">
        <f t="shared" si="61"/>
        <v>0.62250506028961183</v>
      </c>
      <c r="R68" s="3">
        <v>3088.9738064516127</v>
      </c>
      <c r="S68" s="3">
        <v>4962.166580645161</v>
      </c>
      <c r="T68" s="39">
        <f t="shared" si="62"/>
        <v>0.97024399317570398</v>
      </c>
      <c r="U68" s="3">
        <v>7601.8472580645166</v>
      </c>
      <c r="V68" s="3">
        <v>7834.9851290322586</v>
      </c>
      <c r="W68" s="63">
        <f t="shared" si="109"/>
        <v>14053.96335483871</v>
      </c>
      <c r="X68" s="7">
        <f t="shared" si="120"/>
        <v>0.6187753066653312</v>
      </c>
      <c r="Y68" s="24">
        <f t="shared" si="110"/>
        <v>22712.547193548387</v>
      </c>
      <c r="Z68" s="25">
        <f t="shared" si="66"/>
        <v>1.1858063934352315E-2</v>
      </c>
      <c r="AA68" s="3">
        <v>8.4838709677419359</v>
      </c>
      <c r="AB68" s="3">
        <v>715.45161290322585</v>
      </c>
      <c r="AC68" s="39">
        <f t="shared" si="67"/>
        <v>0.47043847241867048</v>
      </c>
      <c r="AD68" s="3">
        <v>107.29032258064517</v>
      </c>
      <c r="AE68" s="3">
        <v>228.06451612903226</v>
      </c>
      <c r="AF68" s="39">
        <f t="shared" si="68"/>
        <v>0.95633433283358327</v>
      </c>
      <c r="AG68" s="3">
        <v>329.22580645161293</v>
      </c>
      <c r="AH68" s="3">
        <v>344.25806451612902</v>
      </c>
      <c r="AI68" s="63">
        <f t="shared" si="111"/>
        <v>445.00000000000006</v>
      </c>
      <c r="AJ68" s="7">
        <f t="shared" si="121"/>
        <v>0.34555747601512993</v>
      </c>
      <c r="AK68" s="26">
        <f t="shared" si="112"/>
        <v>1287.7741935483871</v>
      </c>
      <c r="AL68" s="93">
        <f t="shared" si="113"/>
        <v>16186.96335483871</v>
      </c>
      <c r="AM68" s="7">
        <f t="shared" si="114"/>
        <v>0.5796251329807045</v>
      </c>
      <c r="AN68" s="3">
        <f t="shared" si="115"/>
        <v>27926.607101382488</v>
      </c>
      <c r="AO68" s="7">
        <f t="shared" si="116"/>
        <v>0.29091920015394113</v>
      </c>
      <c r="AP68" s="7">
        <f t="shared" si="117"/>
        <v>0.61115033319427681</v>
      </c>
      <c r="AQ68" s="94">
        <f t="shared" si="118"/>
        <v>0.96644231497759225</v>
      </c>
    </row>
    <row r="69" spans="1:43" x14ac:dyDescent="0.15">
      <c r="A69" s="177">
        <v>41730</v>
      </c>
      <c r="B69" s="25">
        <f t="shared" si="54"/>
        <v>0.14846775837466875</v>
      </c>
      <c r="C69" s="51">
        <v>312.14285714285717</v>
      </c>
      <c r="D69" s="3">
        <v>2102.4285714285716</v>
      </c>
      <c r="E69" s="39">
        <f t="shared" si="55"/>
        <v>0.56039649608114339</v>
      </c>
      <c r="F69" s="51">
        <v>694.57142857142856</v>
      </c>
      <c r="G69" s="3">
        <v>1239.4285714285713</v>
      </c>
      <c r="H69" s="39">
        <f t="shared" si="56"/>
        <v>0.94909420289855073</v>
      </c>
      <c r="I69" s="51">
        <v>748.42857142857144</v>
      </c>
      <c r="J69" s="3">
        <v>788.57142857142856</v>
      </c>
      <c r="K69" s="63">
        <f t="shared" si="107"/>
        <v>1755.1428571428573</v>
      </c>
      <c r="L69" s="7">
        <f t="shared" si="119"/>
        <v>0.42492996230069524</v>
      </c>
      <c r="M69" s="26">
        <f t="shared" si="108"/>
        <v>4130.4285714285716</v>
      </c>
      <c r="N69" s="45">
        <f t="shared" si="60"/>
        <v>0.33268419380272979</v>
      </c>
      <c r="O69" s="3">
        <v>3839.4755999999998</v>
      </c>
      <c r="P69" s="174">
        <v>11540.901766666666</v>
      </c>
      <c r="Q69" s="39">
        <f t="shared" si="61"/>
        <v>0.62338179812616201</v>
      </c>
      <c r="R69" s="3">
        <v>3298.3717333333334</v>
      </c>
      <c r="S69" s="3">
        <v>5291.0940666666665</v>
      </c>
      <c r="T69" s="39">
        <f t="shared" si="62"/>
        <v>0.97090501189373812</v>
      </c>
      <c r="U69" s="3">
        <v>8511.3471333333327</v>
      </c>
      <c r="V69" s="3">
        <v>8766.4056</v>
      </c>
      <c r="W69" s="63">
        <f t="shared" si="109"/>
        <v>15649.194466666666</v>
      </c>
      <c r="X69" s="7">
        <f t="shared" si="120"/>
        <v>0.61133483305284986</v>
      </c>
      <c r="Y69" s="24">
        <f t="shared" si="110"/>
        <v>25598.401433333333</v>
      </c>
      <c r="Z69" s="25">
        <f t="shared" si="66"/>
        <v>9.8691088529251868E-3</v>
      </c>
      <c r="AA69" s="3">
        <v>7.8666666666666663</v>
      </c>
      <c r="AB69" s="3">
        <v>797.1</v>
      </c>
      <c r="AC69" s="39">
        <f t="shared" si="67"/>
        <v>0.33858531679517262</v>
      </c>
      <c r="AD69" s="3">
        <v>67.333333333333329</v>
      </c>
      <c r="AE69" s="3">
        <v>198.86666666666667</v>
      </c>
      <c r="AF69" s="39">
        <f t="shared" si="68"/>
        <v>0.955710102489019</v>
      </c>
      <c r="AG69" s="3">
        <v>348.13333333333333</v>
      </c>
      <c r="AH69" s="3">
        <v>364.26666666666665</v>
      </c>
      <c r="AI69" s="63">
        <f t="shared" si="111"/>
        <v>423.33333333333331</v>
      </c>
      <c r="AJ69" s="7">
        <f t="shared" si="121"/>
        <v>0.3112211140245546</v>
      </c>
      <c r="AK69" s="26">
        <f t="shared" si="112"/>
        <v>1360.2333333333333</v>
      </c>
      <c r="AL69" s="93">
        <f t="shared" si="113"/>
        <v>17827.670657142859</v>
      </c>
      <c r="AM69" s="7">
        <f t="shared" si="114"/>
        <v>0.57343865472130762</v>
      </c>
      <c r="AN69" s="3">
        <f t="shared" si="115"/>
        <v>31089.063338095239</v>
      </c>
      <c r="AO69" s="7">
        <f t="shared" si="116"/>
        <v>0.28804440216967797</v>
      </c>
      <c r="AP69" s="7">
        <f t="shared" si="117"/>
        <v>0.60336477967843671</v>
      </c>
      <c r="AQ69" s="94">
        <f t="shared" si="118"/>
        <v>0.96861306499684841</v>
      </c>
    </row>
    <row r="70" spans="1:43" x14ac:dyDescent="0.15">
      <c r="A70" s="177">
        <v>41699</v>
      </c>
      <c r="B70" s="25">
        <f t="shared" si="54"/>
        <v>0.14414252294403457</v>
      </c>
      <c r="C70" s="51">
        <v>343.28571428571428</v>
      </c>
      <c r="D70" s="3">
        <v>2381.5714285714284</v>
      </c>
      <c r="E70" s="39">
        <f t="shared" si="55"/>
        <v>0.56137675634462481</v>
      </c>
      <c r="F70" s="51">
        <v>736.28571428571433</v>
      </c>
      <c r="G70" s="3">
        <v>1311.5714285714287</v>
      </c>
      <c r="H70" s="39">
        <f t="shared" si="56"/>
        <v>0.96552937038339781</v>
      </c>
      <c r="I70" s="51">
        <v>784.28571428571433</v>
      </c>
      <c r="J70" s="3">
        <v>812.28571428571433</v>
      </c>
      <c r="K70" s="63">
        <f t="shared" ref="K70:K75" si="122">SUM(C70+F70+I70)</f>
        <v>1863.8571428571431</v>
      </c>
      <c r="L70" s="7">
        <f t="shared" si="119"/>
        <v>0.41369141987443725</v>
      </c>
      <c r="M70" s="26">
        <f t="shared" ref="M70:M75" si="123">SUM(J70+G70+D70)</f>
        <v>4505.4285714285716</v>
      </c>
      <c r="N70" s="45">
        <f t="shared" si="60"/>
        <v>0.32832994673755173</v>
      </c>
      <c r="O70" s="3">
        <v>3948.9393225806452</v>
      </c>
      <c r="P70" s="174">
        <v>12027.35041935484</v>
      </c>
      <c r="Q70" s="39">
        <f t="shared" si="61"/>
        <v>0.61993797805692419</v>
      </c>
      <c r="R70" s="3">
        <v>3161.4227741935483</v>
      </c>
      <c r="S70" s="3">
        <v>5099.5791290322577</v>
      </c>
      <c r="T70" s="39">
        <f t="shared" si="62"/>
        <v>0.96837141155557038</v>
      </c>
      <c r="U70" s="3">
        <v>7097.3247741935484</v>
      </c>
      <c r="V70" s="3">
        <v>7329.1349677419357</v>
      </c>
      <c r="W70" s="63">
        <f t="shared" ref="W70:W75" si="124">+U70+O70+R70</f>
        <v>14207.686870967742</v>
      </c>
      <c r="X70" s="7">
        <f t="shared" si="120"/>
        <v>0.58094739084441083</v>
      </c>
      <c r="Y70" s="24">
        <f t="shared" ref="Y70:Y75" si="125">+V70+S70+P70</f>
        <v>24456.064516129034</v>
      </c>
      <c r="Z70" s="25">
        <f t="shared" si="66"/>
        <v>9.2426952892069175E-3</v>
      </c>
      <c r="AA70" s="3">
        <v>8</v>
      </c>
      <c r="AB70" s="3">
        <v>865.54838709677415</v>
      </c>
      <c r="AC70" s="39">
        <f t="shared" si="67"/>
        <v>0.45777233782129745</v>
      </c>
      <c r="AD70" s="3">
        <v>108.58064516129032</v>
      </c>
      <c r="AE70" s="3">
        <v>237.19354838709677</v>
      </c>
      <c r="AF70" s="39">
        <f t="shared" si="68"/>
        <v>0.95356223175965671</v>
      </c>
      <c r="AG70" s="3">
        <v>358.35483870967744</v>
      </c>
      <c r="AH70" s="3">
        <v>375.80645161290323</v>
      </c>
      <c r="AI70" s="63">
        <f t="shared" ref="AI70:AI75" si="126">AG70+AD70+AA70</f>
        <v>474.93548387096774</v>
      </c>
      <c r="AJ70" s="7">
        <f t="shared" si="121"/>
        <v>0.32121741027598999</v>
      </c>
      <c r="AK70" s="26">
        <f t="shared" ref="AK70:AK75" si="127">+AH70+AE70+AB70</f>
        <v>1478.5483870967741</v>
      </c>
      <c r="AL70" s="93">
        <f t="shared" ref="AL70:AL75" si="128">+AI70+W70+K70</f>
        <v>16546.479497695851</v>
      </c>
      <c r="AM70" s="7">
        <f t="shared" si="114"/>
        <v>0.54357611540947226</v>
      </c>
      <c r="AN70" s="3">
        <f t="shared" ref="AN70:AN75" si="129">+AK70+Y70+M70</f>
        <v>30440.041474654379</v>
      </c>
      <c r="AO70" s="7">
        <f t="shared" ref="AO70:AO75" si="130">(+AA70+O70+C70)/(D70+P70+AB70)</f>
        <v>0.28153022466247735</v>
      </c>
      <c r="AP70" s="7">
        <f t="shared" ref="AP70:AP75" si="131">(+AD70+R70+F70)/(G70+S70+AE70)</f>
        <v>0.60259954505521307</v>
      </c>
      <c r="AQ70" s="94">
        <f t="shared" ref="AQ70:AQ75" si="132">(AG70+U70+I70)/(AH70+V70+J70)</f>
        <v>0.96744693993700004</v>
      </c>
    </row>
    <row r="71" spans="1:43" x14ac:dyDescent="0.15">
      <c r="A71" s="177">
        <v>41671</v>
      </c>
      <c r="B71" s="25">
        <f t="shared" si="54"/>
        <v>0.14351581650519435</v>
      </c>
      <c r="C71" s="51">
        <v>351.28571428571428</v>
      </c>
      <c r="D71" s="3">
        <v>2447.7142857142858</v>
      </c>
      <c r="E71" s="39">
        <f t="shared" si="55"/>
        <v>0.57680355160932295</v>
      </c>
      <c r="F71" s="51">
        <v>742.42857142857144</v>
      </c>
      <c r="G71" s="3">
        <v>1287.1428571428571</v>
      </c>
      <c r="H71" s="39">
        <f t="shared" si="56"/>
        <v>0.79399727148703958</v>
      </c>
      <c r="I71" s="51">
        <v>665.14285714285711</v>
      </c>
      <c r="J71" s="3">
        <v>837.71428571428567</v>
      </c>
      <c r="K71" s="63">
        <f t="shared" si="122"/>
        <v>1758.8571428571429</v>
      </c>
      <c r="L71" s="7">
        <f t="shared" si="119"/>
        <v>0.38465383654086482</v>
      </c>
      <c r="M71" s="26">
        <f t="shared" si="123"/>
        <v>4572.5714285714284</v>
      </c>
      <c r="N71" s="45">
        <f t="shared" si="60"/>
        <v>0.33088110187086039</v>
      </c>
      <c r="O71" s="3">
        <v>4833.8154285714281</v>
      </c>
      <c r="P71" s="174">
        <v>14608.919642857143</v>
      </c>
      <c r="Q71" s="39">
        <f t="shared" si="61"/>
        <v>0.61184594658144409</v>
      </c>
      <c r="R71" s="3">
        <v>3737.2838571428574</v>
      </c>
      <c r="S71" s="3">
        <v>6108.2105357142864</v>
      </c>
      <c r="T71" s="39">
        <f t="shared" si="62"/>
        <v>0.96942436414470234</v>
      </c>
      <c r="U71" s="3">
        <v>7573.0454285714286</v>
      </c>
      <c r="V71" s="3">
        <v>7811.8992142857142</v>
      </c>
      <c r="W71" s="63">
        <f t="shared" si="124"/>
        <v>16144.144714285714</v>
      </c>
      <c r="X71" s="7">
        <f t="shared" si="120"/>
        <v>0.56588482180637212</v>
      </c>
      <c r="Y71" s="24">
        <f t="shared" si="125"/>
        <v>28529.029392857141</v>
      </c>
      <c r="Z71" s="25">
        <f t="shared" si="66"/>
        <v>1.0163880152292666E-2</v>
      </c>
      <c r="AA71" s="3">
        <v>10.964285714285714</v>
      </c>
      <c r="AB71" s="3">
        <v>1078.75</v>
      </c>
      <c r="AC71" s="39">
        <f t="shared" si="67"/>
        <v>0.53408353170309453</v>
      </c>
      <c r="AD71" s="3">
        <v>176.28571428571428</v>
      </c>
      <c r="AE71" s="3">
        <v>330.07142857142856</v>
      </c>
      <c r="AF71" s="39">
        <f t="shared" si="68"/>
        <v>0.94695891450801783</v>
      </c>
      <c r="AG71" s="3">
        <v>356.42857142857144</v>
      </c>
      <c r="AH71" s="3">
        <v>376.39285714285717</v>
      </c>
      <c r="AI71" s="63">
        <f t="shared" si="126"/>
        <v>543.67857142857144</v>
      </c>
      <c r="AJ71" s="7">
        <f t="shared" si="121"/>
        <v>0.3045452726763494</v>
      </c>
      <c r="AK71" s="26">
        <f t="shared" si="127"/>
        <v>1785.2142857142858</v>
      </c>
      <c r="AL71" s="93">
        <f t="shared" si="128"/>
        <v>18446.680428571428</v>
      </c>
      <c r="AM71" s="7">
        <f t="shared" ref="AM71:AM77" si="133">AL71/AN71</f>
        <v>0.52875793826174133</v>
      </c>
      <c r="AN71" s="3">
        <f t="shared" si="129"/>
        <v>34886.815107142858</v>
      </c>
      <c r="AO71" s="7">
        <f t="shared" si="130"/>
        <v>0.28651532545640107</v>
      </c>
      <c r="AP71" s="7">
        <f t="shared" si="131"/>
        <v>0.60268506269615918</v>
      </c>
      <c r="AQ71" s="94">
        <f t="shared" si="132"/>
        <v>0.95220593882491411</v>
      </c>
    </row>
    <row r="72" spans="1:43" x14ac:dyDescent="0.15">
      <c r="A72" s="177">
        <v>41640</v>
      </c>
      <c r="B72" s="25">
        <f t="shared" si="54"/>
        <v>0.14622057001239158</v>
      </c>
      <c r="C72" s="51">
        <v>387.71428571428572</v>
      </c>
      <c r="D72" s="3">
        <v>2651.5714285714284</v>
      </c>
      <c r="E72" s="39">
        <f t="shared" si="55"/>
        <v>0.57451898075923036</v>
      </c>
      <c r="F72" s="51">
        <v>789.14285714285711</v>
      </c>
      <c r="G72" s="3">
        <v>1373.5714285714287</v>
      </c>
      <c r="H72" s="39">
        <f t="shared" si="56"/>
        <v>0.80376681614349765</v>
      </c>
      <c r="I72" s="51">
        <v>640.14285714285711</v>
      </c>
      <c r="J72" s="3">
        <v>796.42857142857144</v>
      </c>
      <c r="K72" s="63">
        <f t="shared" si="122"/>
        <v>1817</v>
      </c>
      <c r="L72" s="7">
        <f t="shared" si="119"/>
        <v>0.3768480933898255</v>
      </c>
      <c r="M72" s="26">
        <f t="shared" si="123"/>
        <v>4821.5714285714284</v>
      </c>
      <c r="N72" s="45">
        <f t="shared" si="60"/>
        <v>0.34760259394712051</v>
      </c>
      <c r="O72" s="3">
        <v>5069.1964516129028</v>
      </c>
      <c r="P72" s="174">
        <v>14583.310193548386</v>
      </c>
      <c r="Q72" s="39">
        <f t="shared" si="61"/>
        <v>0.62183288161041883</v>
      </c>
      <c r="R72" s="3">
        <v>3594.1994516129034</v>
      </c>
      <c r="S72" s="3">
        <v>5780.0086774193551</v>
      </c>
      <c r="T72" s="39">
        <f t="shared" si="62"/>
        <v>0.97024501332106827</v>
      </c>
      <c r="U72" s="3">
        <v>7487.5236129032255</v>
      </c>
      <c r="V72" s="3">
        <v>7717.1472258064514</v>
      </c>
      <c r="W72" s="63">
        <f t="shared" si="124"/>
        <v>16150.919516129032</v>
      </c>
      <c r="X72" s="7">
        <f t="shared" si="120"/>
        <v>0.57516564933316416</v>
      </c>
      <c r="Y72" s="24">
        <f t="shared" si="125"/>
        <v>28080.466096774195</v>
      </c>
      <c r="Z72" s="25">
        <f t="shared" si="66"/>
        <v>8.3776677062312715E-3</v>
      </c>
      <c r="AA72" s="3">
        <v>8.8387096774193541</v>
      </c>
      <c r="AB72" s="3">
        <v>1055.0322580645161</v>
      </c>
      <c r="AC72" s="39">
        <f t="shared" si="67"/>
        <v>0.44954245043213015</v>
      </c>
      <c r="AD72" s="3">
        <v>114.09677419354838</v>
      </c>
      <c r="AE72" s="3">
        <v>253.80645161290323</v>
      </c>
      <c r="AF72" s="39">
        <f t="shared" si="68"/>
        <v>0.94931119745672898</v>
      </c>
      <c r="AG72" s="3">
        <v>346.77419354838707</v>
      </c>
      <c r="AH72" s="3">
        <v>365.29032258064518</v>
      </c>
      <c r="AI72" s="63">
        <f t="shared" si="126"/>
        <v>469.70967741935482</v>
      </c>
      <c r="AJ72" s="7">
        <f t="shared" si="121"/>
        <v>0.28056957878916339</v>
      </c>
      <c r="AK72" s="26">
        <f t="shared" si="127"/>
        <v>1674.1290322580644</v>
      </c>
      <c r="AL72" s="93">
        <f t="shared" si="128"/>
        <v>18437.629193548386</v>
      </c>
      <c r="AM72" s="7">
        <f t="shared" si="133"/>
        <v>0.53324677166947942</v>
      </c>
      <c r="AN72" s="3">
        <f t="shared" si="129"/>
        <v>34576.16655760369</v>
      </c>
      <c r="AO72" s="7">
        <f t="shared" si="130"/>
        <v>0.29883953980375566</v>
      </c>
      <c r="AP72" s="7">
        <f t="shared" si="131"/>
        <v>0.60715598517437763</v>
      </c>
      <c r="AQ72" s="94">
        <f t="shared" si="132"/>
        <v>0.9544507766235365</v>
      </c>
    </row>
    <row r="73" spans="1:43" x14ac:dyDescent="0.15">
      <c r="A73" s="177">
        <v>41609</v>
      </c>
      <c r="B73" s="25">
        <f t="shared" si="54"/>
        <v>0.16790983829694561</v>
      </c>
      <c r="C73" s="51">
        <v>440.57142857142856</v>
      </c>
      <c r="D73" s="3">
        <v>2623.8571428571427</v>
      </c>
      <c r="E73" s="39">
        <f t="shared" si="55"/>
        <v>0.58499670980478169</v>
      </c>
      <c r="F73" s="51">
        <v>762</v>
      </c>
      <c r="G73" s="3">
        <v>1302.5714285714287</v>
      </c>
      <c r="H73" s="39">
        <f t="shared" si="56"/>
        <v>0.76992578251048716</v>
      </c>
      <c r="I73" s="51">
        <v>681.71428571428567</v>
      </c>
      <c r="J73" s="3">
        <v>885.42857142857144</v>
      </c>
      <c r="K73" s="63">
        <f t="shared" si="122"/>
        <v>1884.2857142857142</v>
      </c>
      <c r="L73" s="7">
        <f t="shared" ref="L73:L78" si="134">K73/M73</f>
        <v>0.39159219784461002</v>
      </c>
      <c r="M73" s="26">
        <f t="shared" si="123"/>
        <v>4811.8571428571431</v>
      </c>
      <c r="N73" s="45">
        <f t="shared" si="60"/>
        <v>0.28014226842901901</v>
      </c>
      <c r="O73" s="3">
        <v>3565.4545483870966</v>
      </c>
      <c r="P73" s="174">
        <v>12727.299483870969</v>
      </c>
      <c r="Q73" s="39">
        <f t="shared" si="61"/>
        <v>0.62441807776589131</v>
      </c>
      <c r="R73" s="3">
        <v>3368.5898387096777</v>
      </c>
      <c r="S73" s="3">
        <v>5394.7666774193549</v>
      </c>
      <c r="T73" s="39">
        <f t="shared" si="62"/>
        <v>0.9704541821559477</v>
      </c>
      <c r="U73" s="3">
        <v>7579.909419354839</v>
      </c>
      <c r="V73" s="3">
        <v>7810.6824193548391</v>
      </c>
      <c r="W73" s="63">
        <f t="shared" si="124"/>
        <v>14513.953806451613</v>
      </c>
      <c r="X73" s="7">
        <f t="shared" ref="X73:X78" si="135">W73/Y73</f>
        <v>0.55967664828571473</v>
      </c>
      <c r="Y73" s="24">
        <f t="shared" si="125"/>
        <v>25932.748580645166</v>
      </c>
      <c r="Z73" s="25">
        <f t="shared" si="66"/>
        <v>7.6989847907310265E-3</v>
      </c>
      <c r="AA73" s="3">
        <v>6.580645161290323</v>
      </c>
      <c r="AB73" s="3">
        <v>854.74193548387098</v>
      </c>
      <c r="AC73" s="39">
        <f t="shared" si="67"/>
        <v>0.44496244496244497</v>
      </c>
      <c r="AD73" s="3">
        <v>110.83870967741936</v>
      </c>
      <c r="AE73" s="3">
        <v>249.09677419354838</v>
      </c>
      <c r="AF73" s="39">
        <f t="shared" si="68"/>
        <v>0.95235512159840885</v>
      </c>
      <c r="AG73" s="3">
        <v>339.80645161290323</v>
      </c>
      <c r="AH73" s="3">
        <v>356.80645161290323</v>
      </c>
      <c r="AI73" s="63">
        <f t="shared" si="126"/>
        <v>457.22580645161287</v>
      </c>
      <c r="AJ73" s="7">
        <f t="shared" ref="AJ73:AJ79" si="136">AI73/AK73</f>
        <v>0.31303003533568907</v>
      </c>
      <c r="AK73" s="26">
        <f t="shared" si="127"/>
        <v>1460.6451612903224</v>
      </c>
      <c r="AL73" s="93">
        <f t="shared" si="128"/>
        <v>16855.46532718894</v>
      </c>
      <c r="AM73" s="7">
        <f t="shared" si="133"/>
        <v>0.52337630864872775</v>
      </c>
      <c r="AN73" s="3">
        <f t="shared" si="129"/>
        <v>32205.250884792629</v>
      </c>
      <c r="AO73" s="7">
        <f t="shared" si="130"/>
        <v>0.24760161287669596</v>
      </c>
      <c r="AP73" s="7">
        <f t="shared" si="131"/>
        <v>0.61059070178378261</v>
      </c>
      <c r="AQ73" s="94">
        <f t="shared" si="132"/>
        <v>0.95012797934068238</v>
      </c>
    </row>
    <row r="74" spans="1:43" x14ac:dyDescent="0.15">
      <c r="A74" s="177">
        <v>41579</v>
      </c>
      <c r="B74" s="25">
        <f t="shared" si="54"/>
        <v>0.18031094376290541</v>
      </c>
      <c r="C74" s="51">
        <v>424.14285714285717</v>
      </c>
      <c r="D74" s="3">
        <v>2352.2857142857142</v>
      </c>
      <c r="E74" s="39">
        <f t="shared" si="55"/>
        <v>0.61587236653712418</v>
      </c>
      <c r="F74" s="51">
        <v>860.28571428571433</v>
      </c>
      <c r="G74" s="3">
        <v>1396.8571428571429</v>
      </c>
      <c r="H74" s="39">
        <f t="shared" si="56"/>
        <v>0.97126220886551462</v>
      </c>
      <c r="I74" s="51">
        <v>738.71428571428567</v>
      </c>
      <c r="J74" s="3">
        <v>760.57142857142856</v>
      </c>
      <c r="K74" s="63">
        <f t="shared" si="122"/>
        <v>2023.1428571428573</v>
      </c>
      <c r="L74" s="7">
        <f t="shared" si="134"/>
        <v>0.44861885453623923</v>
      </c>
      <c r="M74" s="26">
        <f t="shared" si="123"/>
        <v>4509.7142857142862</v>
      </c>
      <c r="N74" s="45">
        <f t="shared" si="60"/>
        <v>0.37499302389993255</v>
      </c>
      <c r="O74" s="3">
        <v>3943.5250999999998</v>
      </c>
      <c r="P74" s="174">
        <v>10516.262566666668</v>
      </c>
      <c r="Q74" s="39">
        <f t="shared" si="61"/>
        <v>0.63222544274983483</v>
      </c>
      <c r="R74" s="3">
        <v>3268.6531666666665</v>
      </c>
      <c r="S74" s="3">
        <v>5170.0753333333332</v>
      </c>
      <c r="T74" s="39">
        <f t="shared" si="62"/>
        <v>0.97152878313774094</v>
      </c>
      <c r="U74" s="3">
        <v>7760.0300333333334</v>
      </c>
      <c r="V74" s="3">
        <v>7987.4422333333332</v>
      </c>
      <c r="W74" s="63">
        <f t="shared" si="124"/>
        <v>14972.2083</v>
      </c>
      <c r="X74" s="7">
        <f t="shared" si="135"/>
        <v>0.63243842832343955</v>
      </c>
      <c r="Y74" s="24">
        <f t="shared" si="125"/>
        <v>23673.780133333334</v>
      </c>
      <c r="Z74" s="25">
        <f t="shared" si="66"/>
        <v>7.7884147330845371E-3</v>
      </c>
      <c r="AA74" s="3">
        <v>6.4</v>
      </c>
      <c r="AB74" s="3">
        <v>821.73333333333335</v>
      </c>
      <c r="AC74" s="39">
        <f t="shared" si="67"/>
        <v>0.46357334842269066</v>
      </c>
      <c r="AD74" s="3">
        <v>109.23333333333333</v>
      </c>
      <c r="AE74" s="3">
        <v>235.63333333333333</v>
      </c>
      <c r="AF74" s="39">
        <f t="shared" si="68"/>
        <v>0.95538399839582921</v>
      </c>
      <c r="AG74" s="3">
        <v>317.63333333333333</v>
      </c>
      <c r="AH74" s="3">
        <v>332.46666666666664</v>
      </c>
      <c r="AI74" s="63">
        <f t="shared" si="126"/>
        <v>433.26666666666665</v>
      </c>
      <c r="AJ74" s="7">
        <f t="shared" si="136"/>
        <v>0.31174001678858376</v>
      </c>
      <c r="AK74" s="26">
        <f t="shared" si="127"/>
        <v>1389.8333333333333</v>
      </c>
      <c r="AL74" s="93">
        <f t="shared" si="128"/>
        <v>17428.617823809524</v>
      </c>
      <c r="AM74" s="7">
        <f t="shared" si="133"/>
        <v>0.58933570038990091</v>
      </c>
      <c r="AN74" s="3">
        <f t="shared" si="129"/>
        <v>29573.327752380952</v>
      </c>
      <c r="AO74" s="7">
        <f t="shared" si="130"/>
        <v>0.31950167866368412</v>
      </c>
      <c r="AP74" s="7">
        <f t="shared" si="131"/>
        <v>0.62302553668090033</v>
      </c>
      <c r="AQ74" s="94">
        <f t="shared" si="132"/>
        <v>0.97091534074915753</v>
      </c>
    </row>
    <row r="75" spans="1:43" x14ac:dyDescent="0.15">
      <c r="A75" s="177">
        <v>41548</v>
      </c>
      <c r="B75" s="25">
        <f t="shared" si="54"/>
        <v>0.17975840679072805</v>
      </c>
      <c r="C75" s="51">
        <v>393.28571428571428</v>
      </c>
      <c r="D75" s="3">
        <v>2187.8571428571427</v>
      </c>
      <c r="E75" s="39">
        <f t="shared" si="55"/>
        <v>0.60617545424144459</v>
      </c>
      <c r="F75" s="51">
        <v>776.85714285714289</v>
      </c>
      <c r="G75" s="3">
        <v>1281.5714285714287</v>
      </c>
      <c r="H75" s="39">
        <f t="shared" si="56"/>
        <v>0.94268246083301499</v>
      </c>
      <c r="I75" s="51">
        <v>352.42857142857144</v>
      </c>
      <c r="J75" s="3">
        <v>373.85714285714283</v>
      </c>
      <c r="K75" s="63">
        <f t="shared" si="122"/>
        <v>1522.5714285714284</v>
      </c>
      <c r="L75" s="7">
        <f t="shared" si="134"/>
        <v>0.39616399658030699</v>
      </c>
      <c r="M75" s="26">
        <f t="shared" si="123"/>
        <v>3843.2857142857142</v>
      </c>
      <c r="N75" s="45">
        <f t="shared" si="60"/>
        <v>0.37805518590772691</v>
      </c>
      <c r="O75" s="3">
        <v>3469.4307096774191</v>
      </c>
      <c r="P75" s="174">
        <v>9177.0483225806456</v>
      </c>
      <c r="Q75" s="39">
        <f t="shared" si="61"/>
        <v>0.62742232523991059</v>
      </c>
      <c r="R75" s="3">
        <v>3176.0974838709676</v>
      </c>
      <c r="S75" s="3">
        <v>5062.1365483870968</v>
      </c>
      <c r="T75" s="39">
        <f t="shared" si="62"/>
        <v>0.97121000748914743</v>
      </c>
      <c r="U75" s="3">
        <v>7474.4286774193542</v>
      </c>
      <c r="V75" s="3">
        <v>7695.9963548387095</v>
      </c>
      <c r="W75" s="63">
        <f t="shared" si="124"/>
        <v>14119.956870967742</v>
      </c>
      <c r="X75" s="7">
        <f t="shared" si="135"/>
        <v>0.64371279751980337</v>
      </c>
      <c r="Y75" s="24">
        <f t="shared" si="125"/>
        <v>21935.181225806453</v>
      </c>
      <c r="Z75" s="25">
        <f t="shared" si="66"/>
        <v>8.7655222790357923E-3</v>
      </c>
      <c r="AA75" s="3">
        <v>6.193548387096774</v>
      </c>
      <c r="AB75" s="3">
        <v>706.58064516129036</v>
      </c>
      <c r="AC75" s="39">
        <f t="shared" si="67"/>
        <v>0.46850935093509349</v>
      </c>
      <c r="AD75" s="3">
        <v>109.90322580645162</v>
      </c>
      <c r="AE75" s="3">
        <v>234.58064516129033</v>
      </c>
      <c r="AF75" s="39">
        <f t="shared" si="68"/>
        <v>0.95184790334044067</v>
      </c>
      <c r="AG75" s="3">
        <v>345.61290322580646</v>
      </c>
      <c r="AH75" s="3">
        <v>363.09677419354841</v>
      </c>
      <c r="AI75" s="63">
        <f t="shared" si="126"/>
        <v>461.70967741935482</v>
      </c>
      <c r="AJ75" s="7">
        <f t="shared" si="136"/>
        <v>0.35400178076770866</v>
      </c>
      <c r="AK75" s="26">
        <f t="shared" si="127"/>
        <v>1304.2580645161293</v>
      </c>
      <c r="AL75" s="93">
        <f t="shared" si="128"/>
        <v>16104.237976958524</v>
      </c>
      <c r="AM75" s="7">
        <f t="shared" si="133"/>
        <v>0.59463137384507236</v>
      </c>
      <c r="AN75" s="3">
        <f t="shared" si="129"/>
        <v>27082.725004608295</v>
      </c>
      <c r="AO75" s="7">
        <f t="shared" si="130"/>
        <v>0.32049989014635294</v>
      </c>
      <c r="AP75" s="7">
        <f t="shared" si="131"/>
        <v>0.61761623515164787</v>
      </c>
      <c r="AQ75" s="94">
        <f t="shared" si="132"/>
        <v>0.96911162624971736</v>
      </c>
    </row>
    <row r="76" spans="1:43" x14ac:dyDescent="0.15">
      <c r="A76" s="177">
        <v>41518</v>
      </c>
      <c r="B76" s="25">
        <f t="shared" si="54"/>
        <v>0.1798678695744832</v>
      </c>
      <c r="C76" s="51">
        <v>361.71428571428572</v>
      </c>
      <c r="D76" s="3">
        <v>2011</v>
      </c>
      <c r="E76" s="39">
        <f t="shared" si="55"/>
        <v>0.59683572710951527</v>
      </c>
      <c r="F76" s="51">
        <v>759.85714285714289</v>
      </c>
      <c r="G76" s="3">
        <v>1273.1428571428571</v>
      </c>
      <c r="H76" s="39">
        <f t="shared" si="56"/>
        <v>0.91350555918901244</v>
      </c>
      <c r="I76" s="51">
        <v>798.14285714285711</v>
      </c>
      <c r="J76" s="3">
        <v>873.71428571428567</v>
      </c>
      <c r="K76" s="63">
        <f t="shared" ref="K76:K81" si="137">SUM(C76+F76+I76)</f>
        <v>1919.7142857142858</v>
      </c>
      <c r="L76" s="7">
        <f t="shared" si="134"/>
        <v>0.46170761037622399</v>
      </c>
      <c r="M76" s="26">
        <f t="shared" ref="M76:M81" si="138">SUM(J76+G76+D76)</f>
        <v>4157.8571428571431</v>
      </c>
      <c r="N76" s="45">
        <f t="shared" si="60"/>
        <v>0.37734191596967465</v>
      </c>
      <c r="O76" s="3">
        <v>4487.0335000000005</v>
      </c>
      <c r="P76" s="174">
        <v>11891.161066666667</v>
      </c>
      <c r="Q76" s="39">
        <f t="shared" si="61"/>
        <v>0.60958051908790045</v>
      </c>
      <c r="R76" s="3">
        <v>3896.2212</v>
      </c>
      <c r="S76" s="3">
        <v>6391.6432333333332</v>
      </c>
      <c r="T76" s="39">
        <f t="shared" si="62"/>
        <v>0.96110502604999382</v>
      </c>
      <c r="U76" s="3">
        <v>8509.7845333333335</v>
      </c>
      <c r="V76" s="3">
        <v>8854.1671333333343</v>
      </c>
      <c r="W76" s="63">
        <f t="shared" ref="W76:W81" si="139">+U76+O76+R76</f>
        <v>16893.039233333333</v>
      </c>
      <c r="X76" s="7">
        <f t="shared" si="135"/>
        <v>0.6225101159439993</v>
      </c>
      <c r="Y76" s="24">
        <f t="shared" ref="Y76:Y81" si="140">+V76+S76+P76</f>
        <v>27136.971433333336</v>
      </c>
      <c r="Z76" s="25">
        <f t="shared" si="66"/>
        <v>9.8114291184071972E-3</v>
      </c>
      <c r="AA76" s="3">
        <v>6.833333333333333</v>
      </c>
      <c r="AB76" s="3">
        <v>696.4666666666667</v>
      </c>
      <c r="AC76" s="39">
        <f t="shared" si="67"/>
        <v>0.46601682467619177</v>
      </c>
      <c r="AD76" s="3">
        <v>116.33333333333333</v>
      </c>
      <c r="AE76" s="3">
        <v>249.63333333333333</v>
      </c>
      <c r="AF76" s="39">
        <f t="shared" si="68"/>
        <v>0.94371685247321146</v>
      </c>
      <c r="AG76" s="3">
        <v>290.63333333333333</v>
      </c>
      <c r="AH76" s="3">
        <v>307.96666666666664</v>
      </c>
      <c r="AI76" s="63">
        <f t="shared" ref="AI76:AI81" si="141">AG76+AD76+AA76</f>
        <v>413.79999999999995</v>
      </c>
      <c r="AJ76" s="7">
        <f t="shared" si="136"/>
        <v>0.32996650895752483</v>
      </c>
      <c r="AK76" s="26">
        <f t="shared" ref="AK76:AK81" si="142">+AH76+AE76+AB76</f>
        <v>1254.0666666666666</v>
      </c>
      <c r="AL76" s="93">
        <f t="shared" ref="AL76:AL81" si="143">+AI76+W76+K76</f>
        <v>19226.553519047618</v>
      </c>
      <c r="AM76" s="7">
        <f t="shared" si="133"/>
        <v>0.59069757592669403</v>
      </c>
      <c r="AN76" s="3">
        <f t="shared" ref="AN76:AN81" si="144">+AK76+Y76+M76</f>
        <v>32548.895242857143</v>
      </c>
      <c r="AO76" s="7">
        <f t="shared" ref="AO76:AO81" si="145">(+AA76+O76+C76)/(D76+P76+AB76)</f>
        <v>0.33260531111158992</v>
      </c>
      <c r="AP76" s="7">
        <f t="shared" ref="AP76:AP81" si="146">(+AD76+R76+F76)/(G76+S76+AE76)</f>
        <v>0.60300211811283122</v>
      </c>
      <c r="AQ76" s="94">
        <f t="shared" ref="AQ76:AQ81" si="147">(AG76+U76+I76)/(AH76+V76+J76)</f>
        <v>0.95642746301359138</v>
      </c>
    </row>
    <row r="77" spans="1:43" x14ac:dyDescent="0.15">
      <c r="A77" s="177">
        <v>41487</v>
      </c>
      <c r="B77" s="25">
        <f t="shared" si="54"/>
        <v>0.17682581619173429</v>
      </c>
      <c r="C77" s="51">
        <v>401.57142857142856</v>
      </c>
      <c r="D77" s="3">
        <v>2271</v>
      </c>
      <c r="E77" s="39">
        <f t="shared" si="55"/>
        <v>0.60099250343152777</v>
      </c>
      <c r="F77" s="51">
        <v>813.14285714285711</v>
      </c>
      <c r="G77" s="3">
        <v>1353</v>
      </c>
      <c r="H77" s="39">
        <f t="shared" si="56"/>
        <v>0.96929112554112551</v>
      </c>
      <c r="I77" s="51">
        <v>1023.5714285714286</v>
      </c>
      <c r="J77" s="3">
        <v>1056</v>
      </c>
      <c r="K77" s="63">
        <f t="shared" si="137"/>
        <v>2238.2857142857142</v>
      </c>
      <c r="L77" s="7">
        <f t="shared" si="134"/>
        <v>0.47826617826617823</v>
      </c>
      <c r="M77" s="26">
        <f t="shared" si="138"/>
        <v>4680</v>
      </c>
      <c r="N77" s="45">
        <f t="shared" si="60"/>
        <v>0.37496136200690888</v>
      </c>
      <c r="O77" s="3">
        <v>4526.6279677419352</v>
      </c>
      <c r="P77" s="174">
        <v>12072.251774193548</v>
      </c>
      <c r="Q77" s="39">
        <f t="shared" si="61"/>
        <v>0.60385289586106172</v>
      </c>
      <c r="R77" s="3">
        <v>3708.9288064516131</v>
      </c>
      <c r="S77" s="3">
        <v>6142.1065161290326</v>
      </c>
      <c r="T77" s="39">
        <f t="shared" si="62"/>
        <v>0.96059541629810952</v>
      </c>
      <c r="U77" s="3">
        <v>8158.9494516129025</v>
      </c>
      <c r="V77" s="3">
        <v>8493.6377096774195</v>
      </c>
      <c r="W77" s="63">
        <f t="shared" si="139"/>
        <v>16394.50622580645</v>
      </c>
      <c r="X77" s="7">
        <f t="shared" si="135"/>
        <v>0.6138426194839347</v>
      </c>
      <c r="Y77" s="24">
        <f t="shared" si="140"/>
        <v>26707.995999999999</v>
      </c>
      <c r="Z77" s="25">
        <f t="shared" si="66"/>
        <v>8.7211929507455942E-3</v>
      </c>
      <c r="AA77" s="3">
        <v>6.225806451612903</v>
      </c>
      <c r="AB77" s="3">
        <v>713.87096774193549</v>
      </c>
      <c r="AC77" s="39">
        <f t="shared" si="67"/>
        <v>0.45159485170677111</v>
      </c>
      <c r="AD77" s="3">
        <v>104.12903225806451</v>
      </c>
      <c r="AE77" s="3">
        <v>230.58064516129033</v>
      </c>
      <c r="AF77" s="39">
        <f t="shared" si="68"/>
        <v>0.94655059440232137</v>
      </c>
      <c r="AG77" s="3">
        <v>326.19354838709677</v>
      </c>
      <c r="AH77" s="3">
        <v>344.61290322580646</v>
      </c>
      <c r="AI77" s="63">
        <f t="shared" si="141"/>
        <v>436.54838709677421</v>
      </c>
      <c r="AJ77" s="7">
        <f t="shared" si="136"/>
        <v>0.3386551888090889</v>
      </c>
      <c r="AK77" s="26">
        <f t="shared" si="142"/>
        <v>1289.0645161290322</v>
      </c>
      <c r="AL77" s="93">
        <f t="shared" si="143"/>
        <v>19069.340327188936</v>
      </c>
      <c r="AM77" s="7">
        <f t="shared" si="133"/>
        <v>0.58356963649703208</v>
      </c>
      <c r="AN77" s="3">
        <f t="shared" si="144"/>
        <v>32677.06051612903</v>
      </c>
      <c r="AO77" s="7">
        <f t="shared" si="145"/>
        <v>0.3277136865612541</v>
      </c>
      <c r="AP77" s="7">
        <f t="shared" si="146"/>
        <v>0.5988076658128465</v>
      </c>
      <c r="AQ77" s="94">
        <f t="shared" si="147"/>
        <v>0.96103432190922944</v>
      </c>
    </row>
    <row r="78" spans="1:43" x14ac:dyDescent="0.15">
      <c r="A78" s="177">
        <v>41456</v>
      </c>
      <c r="B78" s="25">
        <f t="shared" si="54"/>
        <v>0.17947600970813368</v>
      </c>
      <c r="C78" s="51">
        <v>412</v>
      </c>
      <c r="D78" s="3">
        <v>2295.5714285714284</v>
      </c>
      <c r="E78" s="39">
        <f t="shared" si="55"/>
        <v>0.60776125483805254</v>
      </c>
      <c r="F78" s="51">
        <v>852.42857142857144</v>
      </c>
      <c r="G78" s="3">
        <v>1402.5714285714287</v>
      </c>
      <c r="H78" s="39">
        <f t="shared" si="56"/>
        <v>0.93803708729081869</v>
      </c>
      <c r="I78" s="51">
        <v>888.85714285714289</v>
      </c>
      <c r="J78" s="3">
        <v>947.57142857142856</v>
      </c>
      <c r="K78" s="63">
        <f t="shared" si="137"/>
        <v>2153.2857142857147</v>
      </c>
      <c r="L78" s="7">
        <f t="shared" si="134"/>
        <v>0.46349938499384996</v>
      </c>
      <c r="M78" s="26">
        <f t="shared" si="138"/>
        <v>4645.7142857142862</v>
      </c>
      <c r="N78" s="45">
        <f t="shared" si="60"/>
        <v>0.38515562178612622</v>
      </c>
      <c r="O78" s="3">
        <v>4431.2742580645163</v>
      </c>
      <c r="P78" s="174">
        <v>11505.152741935484</v>
      </c>
      <c r="Q78" s="39">
        <f t="shared" si="61"/>
        <v>0.60812576789326245</v>
      </c>
      <c r="R78" s="3">
        <v>3496.1618064516128</v>
      </c>
      <c r="S78" s="3">
        <v>5749.0769032258067</v>
      </c>
      <c r="T78" s="39">
        <f t="shared" si="62"/>
        <v>0.96310895033680832</v>
      </c>
      <c r="U78" s="3">
        <v>7247.9897419354838</v>
      </c>
      <c r="V78" s="3">
        <v>7525.6176774193545</v>
      </c>
      <c r="W78" s="63">
        <f t="shared" si="139"/>
        <v>15175.425806451613</v>
      </c>
      <c r="X78" s="7">
        <f t="shared" si="135"/>
        <v>0.61240998013022463</v>
      </c>
      <c r="Y78" s="24">
        <f t="shared" si="140"/>
        <v>24779.847322580645</v>
      </c>
      <c r="Z78" s="25">
        <f t="shared" si="66"/>
        <v>8.8386151309763697E-3</v>
      </c>
      <c r="AA78" s="3">
        <v>6.225806451612903</v>
      </c>
      <c r="AB78" s="3">
        <v>704.38709677419354</v>
      </c>
      <c r="AC78" s="39">
        <f t="shared" si="67"/>
        <v>0.47474619289340103</v>
      </c>
      <c r="AD78" s="3">
        <v>120.6774193548387</v>
      </c>
      <c r="AE78" s="3">
        <v>254.19354838709677</v>
      </c>
      <c r="AF78" s="39">
        <f t="shared" si="68"/>
        <v>0.95527129120879117</v>
      </c>
      <c r="AG78" s="3">
        <v>358.93548387096774</v>
      </c>
      <c r="AH78" s="3">
        <v>375.74193548387098</v>
      </c>
      <c r="AI78" s="63">
        <f t="shared" si="141"/>
        <v>485.83870967741939</v>
      </c>
      <c r="AJ78" s="7">
        <f t="shared" si="136"/>
        <v>0.36410888695483995</v>
      </c>
      <c r="AK78" s="26">
        <f t="shared" si="142"/>
        <v>1334.3225806451615</v>
      </c>
      <c r="AL78" s="93">
        <f t="shared" si="143"/>
        <v>17814.550230414745</v>
      </c>
      <c r="AM78" s="7">
        <f t="shared" ref="AM78:AM84" si="148">AL78/AN78</f>
        <v>0.57914880696527704</v>
      </c>
      <c r="AN78" s="3">
        <f t="shared" si="144"/>
        <v>30759.884188940094</v>
      </c>
      <c r="AO78" s="7">
        <f t="shared" si="145"/>
        <v>0.33433042843697797</v>
      </c>
      <c r="AP78" s="7">
        <f t="shared" si="146"/>
        <v>0.60347869554079414</v>
      </c>
      <c r="AQ78" s="94">
        <f t="shared" si="147"/>
        <v>0.96009137474844553</v>
      </c>
    </row>
    <row r="79" spans="1:43" x14ac:dyDescent="0.15">
      <c r="A79" s="177">
        <v>41426</v>
      </c>
      <c r="B79" s="25">
        <f t="shared" si="54"/>
        <v>0.18367215230719589</v>
      </c>
      <c r="C79" s="51">
        <v>406.57142857142856</v>
      </c>
      <c r="D79" s="3">
        <v>2213.5714285714284</v>
      </c>
      <c r="E79" s="39">
        <f t="shared" si="55"/>
        <v>0.61978485975671049</v>
      </c>
      <c r="F79" s="51">
        <v>880.71428571428567</v>
      </c>
      <c r="G79" s="3">
        <v>1421</v>
      </c>
      <c r="H79" s="39">
        <f t="shared" si="56"/>
        <v>0.96752109536697972</v>
      </c>
      <c r="I79" s="51">
        <v>868.14285714285711</v>
      </c>
      <c r="J79" s="3">
        <v>897.28571428571433</v>
      </c>
      <c r="K79" s="63">
        <f t="shared" si="137"/>
        <v>2155.4285714285716</v>
      </c>
      <c r="L79" s="7">
        <f t="shared" ref="L79:L85" si="149">K79/M79</f>
        <v>0.47561706017715855</v>
      </c>
      <c r="M79" s="26">
        <f t="shared" si="138"/>
        <v>4531.8571428571431</v>
      </c>
      <c r="N79" s="45">
        <f t="shared" si="60"/>
        <v>0.40006194861423333</v>
      </c>
      <c r="O79" s="3">
        <v>4345.6073333333334</v>
      </c>
      <c r="P79" s="174">
        <v>10862.336066666667</v>
      </c>
      <c r="Q79" s="39">
        <f t="shared" si="61"/>
        <v>0.62489734626909255</v>
      </c>
      <c r="R79" s="3">
        <v>3598.8883000000001</v>
      </c>
      <c r="S79" s="3">
        <v>5759.1671999999999</v>
      </c>
      <c r="T79" s="39">
        <f t="shared" si="62"/>
        <v>0.97093385183052427</v>
      </c>
      <c r="U79" s="3">
        <v>7880.0515333333333</v>
      </c>
      <c r="V79" s="3">
        <v>8115.9509666666663</v>
      </c>
      <c r="W79" s="63">
        <f t="shared" si="139"/>
        <v>15824.547166666667</v>
      </c>
      <c r="X79" s="7">
        <f t="shared" ref="X79:X85" si="150">W79/Y79</f>
        <v>0.63969990676499511</v>
      </c>
      <c r="Y79" s="24">
        <f t="shared" si="140"/>
        <v>24737.454233333334</v>
      </c>
      <c r="Z79" s="25">
        <f t="shared" si="66"/>
        <v>9.2060424190020858E-3</v>
      </c>
      <c r="AA79" s="3">
        <v>6.0333333333333332</v>
      </c>
      <c r="AB79" s="3">
        <v>655.36666666666667</v>
      </c>
      <c r="AC79" s="39">
        <f t="shared" si="67"/>
        <v>0.45458490020248771</v>
      </c>
      <c r="AD79" s="3">
        <v>104.76666666666667</v>
      </c>
      <c r="AE79" s="3">
        <v>230.46666666666667</v>
      </c>
      <c r="AF79" s="39">
        <f t="shared" si="68"/>
        <v>0.98147771219214308</v>
      </c>
      <c r="AG79" s="3">
        <v>321.46666666666664</v>
      </c>
      <c r="AH79" s="3">
        <v>327.53333333333336</v>
      </c>
      <c r="AI79" s="63">
        <f t="shared" si="141"/>
        <v>432.26666666666665</v>
      </c>
      <c r="AJ79" s="7">
        <f t="shared" si="136"/>
        <v>0.35625394906733326</v>
      </c>
      <c r="AK79" s="26">
        <f t="shared" si="142"/>
        <v>1213.3666666666668</v>
      </c>
      <c r="AL79" s="93">
        <f t="shared" si="143"/>
        <v>18412.242404761906</v>
      </c>
      <c r="AM79" s="7">
        <f t="shared" si="148"/>
        <v>0.60402312352199505</v>
      </c>
      <c r="AN79" s="3">
        <f t="shared" si="144"/>
        <v>30482.678042857144</v>
      </c>
      <c r="AO79" s="7">
        <f t="shared" si="145"/>
        <v>0.34652371215768157</v>
      </c>
      <c r="AP79" s="7">
        <f t="shared" si="146"/>
        <v>0.61862039534858582</v>
      </c>
      <c r="AQ79" s="94">
        <f t="shared" si="147"/>
        <v>0.97097573789653058</v>
      </c>
    </row>
    <row r="80" spans="1:43" x14ac:dyDescent="0.15">
      <c r="A80" s="177">
        <v>41395</v>
      </c>
      <c r="B80" s="25">
        <f t="shared" si="54"/>
        <v>0.18232403526521174</v>
      </c>
      <c r="C80" s="51">
        <v>360.42857142857144</v>
      </c>
      <c r="D80" s="3">
        <v>1976.8571428571429</v>
      </c>
      <c r="E80" s="39">
        <f t="shared" si="55"/>
        <v>0.61953758624863819</v>
      </c>
      <c r="F80" s="51">
        <v>731.14285714285711</v>
      </c>
      <c r="G80" s="3">
        <v>1180.1428571428571</v>
      </c>
      <c r="H80" s="39">
        <f t="shared" si="56"/>
        <v>0.95617474096891619</v>
      </c>
      <c r="I80" s="51">
        <v>975.57142857142856</v>
      </c>
      <c r="J80" s="3">
        <v>1020.2857142857143</v>
      </c>
      <c r="K80" s="63">
        <f t="shared" si="137"/>
        <v>2067.1428571428569</v>
      </c>
      <c r="L80" s="7">
        <f t="shared" si="149"/>
        <v>0.4948531171984541</v>
      </c>
      <c r="M80" s="26">
        <f t="shared" si="138"/>
        <v>4177.2857142857147</v>
      </c>
      <c r="N80" s="45">
        <f t="shared" si="60"/>
        <v>0.40053758834975955</v>
      </c>
      <c r="O80" s="3">
        <v>3803.6513548387097</v>
      </c>
      <c r="P80" s="174">
        <v>9496.3655483870971</v>
      </c>
      <c r="Q80" s="39">
        <f t="shared" si="61"/>
        <v>0.63341227472152428</v>
      </c>
      <c r="R80" s="3">
        <v>3124.3327096774192</v>
      </c>
      <c r="S80" s="3">
        <v>4932.5420967741939</v>
      </c>
      <c r="T80" s="39">
        <f t="shared" si="62"/>
        <v>0.97631371044379012</v>
      </c>
      <c r="U80" s="3">
        <v>7738.483903225806</v>
      </c>
      <c r="V80" s="3">
        <v>7926.226806451612</v>
      </c>
      <c r="W80" s="63">
        <f t="shared" si="139"/>
        <v>14666.467967741935</v>
      </c>
      <c r="X80" s="7">
        <f t="shared" si="150"/>
        <v>0.65606708827840499</v>
      </c>
      <c r="Y80" s="24">
        <f t="shared" si="140"/>
        <v>22355.134451612903</v>
      </c>
      <c r="Z80" s="25">
        <f t="shared" si="66"/>
        <v>8.8099630996309967E-3</v>
      </c>
      <c r="AA80" s="3">
        <v>6.161290322580645</v>
      </c>
      <c r="AB80" s="3">
        <v>699.35483870967744</v>
      </c>
      <c r="AC80" s="39">
        <f t="shared" si="67"/>
        <v>0.46675066498670026</v>
      </c>
      <c r="AD80" s="3">
        <v>107.54838709677419</v>
      </c>
      <c r="AE80" s="3">
        <v>230.41935483870967</v>
      </c>
      <c r="AF80" s="39">
        <f t="shared" si="68"/>
        <v>0.94228837549082278</v>
      </c>
      <c r="AG80" s="3">
        <v>332.87096774193549</v>
      </c>
      <c r="AH80" s="3">
        <v>353.25806451612902</v>
      </c>
      <c r="AI80" s="63">
        <f t="shared" si="141"/>
        <v>446.58064516129036</v>
      </c>
      <c r="AJ80" s="7">
        <f t="shared" ref="AJ80:AJ86" si="151">AI80/AK80</f>
        <v>0.34806657615527736</v>
      </c>
      <c r="AK80" s="26">
        <f t="shared" si="142"/>
        <v>1283.0322580645161</v>
      </c>
      <c r="AL80" s="93">
        <f t="shared" si="143"/>
        <v>17180.191470046084</v>
      </c>
      <c r="AM80" s="7">
        <f t="shared" si="148"/>
        <v>0.61764918320168238</v>
      </c>
      <c r="AN80" s="3">
        <f t="shared" si="144"/>
        <v>27815.452423963132</v>
      </c>
      <c r="AO80" s="7">
        <f t="shared" si="145"/>
        <v>0.34259311196234776</v>
      </c>
      <c r="AP80" s="7">
        <f t="shared" si="146"/>
        <v>0.62477672776824045</v>
      </c>
      <c r="AQ80" s="94">
        <f t="shared" si="147"/>
        <v>0.97281177171023814</v>
      </c>
    </row>
    <row r="81" spans="1:43" x14ac:dyDescent="0.15">
      <c r="A81" s="177">
        <v>41365</v>
      </c>
      <c r="B81" s="25">
        <f t="shared" si="54"/>
        <v>0.18038639227215456</v>
      </c>
      <c r="C81" s="51">
        <v>368.14285714285717</v>
      </c>
      <c r="D81" s="3">
        <v>2040.8571428571429</v>
      </c>
      <c r="E81" s="39">
        <f t="shared" si="55"/>
        <v>0.62262552934059279</v>
      </c>
      <c r="F81" s="51">
        <v>735.14285714285711</v>
      </c>
      <c r="G81" s="3">
        <v>1180.7142857142858</v>
      </c>
      <c r="H81" s="39">
        <f t="shared" si="56"/>
        <v>0.8438837920489296</v>
      </c>
      <c r="I81" s="51">
        <v>788.42857142857144</v>
      </c>
      <c r="J81" s="3">
        <v>934.28571428571433</v>
      </c>
      <c r="K81" s="63">
        <f t="shared" si="137"/>
        <v>1891.7142857142858</v>
      </c>
      <c r="L81" s="7">
        <f t="shared" si="149"/>
        <v>0.45519232752397648</v>
      </c>
      <c r="M81" s="26">
        <f t="shared" si="138"/>
        <v>4155.8571428571431</v>
      </c>
      <c r="N81" s="45">
        <f t="shared" si="60"/>
        <v>0.39382494453229622</v>
      </c>
      <c r="O81" s="3">
        <v>4376.0257000000001</v>
      </c>
      <c r="P81" s="174">
        <v>11111.601133333334</v>
      </c>
      <c r="Q81" s="39">
        <f t="shared" si="61"/>
        <v>0.63763188247088665</v>
      </c>
      <c r="R81" s="3">
        <v>3265.3827333333334</v>
      </c>
      <c r="S81" s="3">
        <v>5121.109566666667</v>
      </c>
      <c r="T81" s="39">
        <f t="shared" si="62"/>
        <v>0.98188886902142936</v>
      </c>
      <c r="U81" s="3">
        <v>8643.7184666666672</v>
      </c>
      <c r="V81" s="3">
        <v>8803.1535333333341</v>
      </c>
      <c r="W81" s="63">
        <f t="shared" si="139"/>
        <v>16285.126900000001</v>
      </c>
      <c r="X81" s="7">
        <f t="shared" si="150"/>
        <v>0.6504719289185793</v>
      </c>
      <c r="Y81" s="24">
        <f t="shared" si="140"/>
        <v>25035.864233333334</v>
      </c>
      <c r="Z81" s="25">
        <f t="shared" si="66"/>
        <v>8.8090047604217642E-3</v>
      </c>
      <c r="AA81" s="3">
        <v>6.6</v>
      </c>
      <c r="AB81" s="3">
        <v>749.23333333333335</v>
      </c>
      <c r="AC81" s="39">
        <f t="shared" si="67"/>
        <v>0.45891702586206895</v>
      </c>
      <c r="AD81" s="3">
        <v>113.56666666666666</v>
      </c>
      <c r="AE81" s="3">
        <v>247.46666666666667</v>
      </c>
      <c r="AF81" s="39">
        <f t="shared" si="68"/>
        <v>0.94773277950848045</v>
      </c>
      <c r="AG81" s="3">
        <v>365.06666666666666</v>
      </c>
      <c r="AH81" s="3">
        <v>385.2</v>
      </c>
      <c r="AI81" s="63">
        <f t="shared" si="141"/>
        <v>485.23333333333335</v>
      </c>
      <c r="AJ81" s="7">
        <f t="shared" si="151"/>
        <v>0.35113491087150539</v>
      </c>
      <c r="AK81" s="26">
        <f t="shared" si="142"/>
        <v>1381.9</v>
      </c>
      <c r="AL81" s="93">
        <f t="shared" si="143"/>
        <v>18662.074519047619</v>
      </c>
      <c r="AM81" s="7">
        <f t="shared" si="148"/>
        <v>0.61039790770683455</v>
      </c>
      <c r="AN81" s="3">
        <f t="shared" si="144"/>
        <v>30573.62137619048</v>
      </c>
      <c r="AO81" s="7">
        <f t="shared" si="145"/>
        <v>0.34174032129213594</v>
      </c>
      <c r="AP81" s="7">
        <f t="shared" si="146"/>
        <v>0.6281737304487629</v>
      </c>
      <c r="AQ81" s="94">
        <f t="shared" si="147"/>
        <v>0.96785170992498948</v>
      </c>
    </row>
    <row r="82" spans="1:43" x14ac:dyDescent="0.15">
      <c r="A82" s="177">
        <v>41334</v>
      </c>
      <c r="B82" s="25">
        <f t="shared" si="54"/>
        <v>0.17662237130692815</v>
      </c>
      <c r="C82" s="51">
        <v>391.14285714285717</v>
      </c>
      <c r="D82" s="3">
        <v>2214.5714285714284</v>
      </c>
      <c r="E82" s="39">
        <f t="shared" si="55"/>
        <v>0.62607466729478267</v>
      </c>
      <c r="F82" s="51">
        <v>759.42857142857144</v>
      </c>
      <c r="G82" s="3">
        <v>1213</v>
      </c>
      <c r="H82" s="39">
        <f t="shared" si="56"/>
        <v>0.96446428571428566</v>
      </c>
      <c r="I82" s="51">
        <v>771.57142857142856</v>
      </c>
      <c r="J82" s="3">
        <v>800</v>
      </c>
      <c r="K82" s="63">
        <f t="shared" ref="K82:K87" si="152">SUM(C82+F82+I82)</f>
        <v>1922.1428571428573</v>
      </c>
      <c r="L82" s="7">
        <f t="shared" si="149"/>
        <v>0.45466833372757076</v>
      </c>
      <c r="M82" s="26">
        <f t="shared" ref="M82:M87" si="153">SUM(J82+G82+D82)</f>
        <v>4227.5714285714284</v>
      </c>
      <c r="N82" s="45">
        <f t="shared" ref="N82:N96" si="154">O82/P82</f>
        <v>0.36380925841182427</v>
      </c>
      <c r="O82" s="3">
        <v>4069.3832258064517</v>
      </c>
      <c r="P82" s="174">
        <v>11185.485612903225</v>
      </c>
      <c r="Q82" s="39">
        <f t="shared" si="61"/>
        <v>0.63989724522092339</v>
      </c>
      <c r="R82" s="3">
        <v>3136.788</v>
      </c>
      <c r="S82" s="3">
        <v>4902.0182903225805</v>
      </c>
      <c r="T82" s="39">
        <f t="shared" si="62"/>
        <v>0.97454187559935501</v>
      </c>
      <c r="U82" s="3">
        <v>7024.0891290322579</v>
      </c>
      <c r="V82" s="3">
        <v>7207.5806129032253</v>
      </c>
      <c r="W82" s="63">
        <f t="shared" ref="W82:W87" si="155">+U82+O82+R82</f>
        <v>14230.260354838711</v>
      </c>
      <c r="X82" s="7">
        <f t="shared" si="150"/>
        <v>0.61086965986261932</v>
      </c>
      <c r="Y82" s="24">
        <f t="shared" ref="Y82:Y87" si="156">+V82+S82+P82</f>
        <v>23295.084516129031</v>
      </c>
      <c r="Z82" s="25">
        <f t="shared" ref="Z82:Z96" si="157">AA82/AB82</f>
        <v>9.0618336886993597E-3</v>
      </c>
      <c r="AA82" s="3">
        <v>7.129032258064516</v>
      </c>
      <c r="AB82" s="3">
        <v>786.70967741935488</v>
      </c>
      <c r="AC82" s="39">
        <f t="shared" si="67"/>
        <v>0.45699305653960604</v>
      </c>
      <c r="AD82" s="3">
        <v>104.03225806451613</v>
      </c>
      <c r="AE82" s="3">
        <v>227.64516129032259</v>
      </c>
      <c r="AF82" s="39">
        <f t="shared" si="68"/>
        <v>0.91752117699509594</v>
      </c>
      <c r="AG82" s="3">
        <v>343</v>
      </c>
      <c r="AH82" s="3">
        <v>373.83333333333331</v>
      </c>
      <c r="AI82" s="63">
        <f t="shared" ref="AI82:AI87" si="158">AG82+AD82+AA82</f>
        <v>454.16129032258061</v>
      </c>
      <c r="AJ82" s="7">
        <f t="shared" si="151"/>
        <v>0.32716118712795744</v>
      </c>
      <c r="AK82" s="26">
        <f t="shared" ref="AK82:AK87" si="159">+AH82+AE82+AB82</f>
        <v>1388.1881720430108</v>
      </c>
      <c r="AL82" s="93">
        <f t="shared" ref="AL82:AL87" si="160">+AI82+W82+K82</f>
        <v>16606.564502304151</v>
      </c>
      <c r="AM82" s="7">
        <f t="shared" si="148"/>
        <v>0.57440607528600662</v>
      </c>
      <c r="AN82" s="3">
        <f t="shared" ref="AN82:AN87" si="161">+AK82+Y82+M82</f>
        <v>28910.844116743468</v>
      </c>
      <c r="AO82" s="7">
        <f t="shared" ref="AO82:AO87" si="162">(+AA82+O82+C82)/(D82+P82+AB82)</f>
        <v>0.31491707756477927</v>
      </c>
      <c r="AP82" s="7">
        <f t="shared" ref="AP82:AP87" si="163">(+AD82+R82+F82)/(G82+S82+AE82)</f>
        <v>0.63068911980121645</v>
      </c>
      <c r="AQ82" s="94">
        <f t="shared" ref="AQ82:AQ87" si="164">(AG82+U82+I82)/(AH82+V82+J82)</f>
        <v>0.97103670213760607</v>
      </c>
    </row>
    <row r="83" spans="1:43" x14ac:dyDescent="0.15">
      <c r="A83" s="177">
        <v>41306</v>
      </c>
      <c r="B83" s="25">
        <f t="shared" si="54"/>
        <v>0.15643552236979008</v>
      </c>
      <c r="C83" s="51">
        <v>365.14285714285717</v>
      </c>
      <c r="D83" s="3">
        <v>2334.1428571428573</v>
      </c>
      <c r="E83" s="39">
        <f t="shared" si="55"/>
        <v>0.59912124699236313</v>
      </c>
      <c r="F83" s="51">
        <v>818.14285714285711</v>
      </c>
      <c r="G83" s="3">
        <v>1365.5714285714287</v>
      </c>
      <c r="H83" s="39">
        <f t="shared" si="56"/>
        <v>0.93080781871648499</v>
      </c>
      <c r="I83" s="51">
        <v>768.71428571428567</v>
      </c>
      <c r="J83" s="3">
        <v>825.85714285714289</v>
      </c>
      <c r="K83" s="63">
        <f t="shared" si="152"/>
        <v>1952</v>
      </c>
      <c r="L83" s="7">
        <f t="shared" si="149"/>
        <v>0.43132674642507646</v>
      </c>
      <c r="M83" s="26">
        <f t="shared" si="153"/>
        <v>4525.5714285714294</v>
      </c>
      <c r="N83" s="45">
        <f t="shared" si="154"/>
        <v>0.35239247240825772</v>
      </c>
      <c r="O83" s="3">
        <v>4990.7582142857145</v>
      </c>
      <c r="P83" s="174">
        <v>14162.499500000002</v>
      </c>
      <c r="Q83" s="39">
        <f t="shared" si="61"/>
        <v>0.64055706492204234</v>
      </c>
      <c r="R83" s="3">
        <v>3783.4276785714287</v>
      </c>
      <c r="S83" s="3">
        <v>5906.4646785714285</v>
      </c>
      <c r="T83" s="39">
        <f t="shared" si="62"/>
        <v>0.97636696916701471</v>
      </c>
      <c r="U83" s="3">
        <v>7741.912571428571</v>
      </c>
      <c r="V83" s="3">
        <v>7929.3061071428565</v>
      </c>
      <c r="W83" s="63">
        <f t="shared" si="155"/>
        <v>16516.098464285715</v>
      </c>
      <c r="X83" s="7">
        <f t="shared" si="150"/>
        <v>0.58989710063313505</v>
      </c>
      <c r="Y83" s="24">
        <f t="shared" si="156"/>
        <v>27998.270285714287</v>
      </c>
      <c r="Z83" s="25">
        <f t="shared" si="157"/>
        <v>7.1447560813505248E-3</v>
      </c>
      <c r="AA83" s="3">
        <v>7.6785714285714288</v>
      </c>
      <c r="AB83" s="3">
        <v>1074.7142857142858</v>
      </c>
      <c r="AC83" s="39">
        <f t="shared" si="67"/>
        <v>0.44523715153917298</v>
      </c>
      <c r="AD83" s="3">
        <v>120.35714285714286</v>
      </c>
      <c r="AE83" s="3">
        <v>270.32142857142856</v>
      </c>
      <c r="AF83" s="39">
        <f t="shared" si="68"/>
        <v>0.94703266963077526</v>
      </c>
      <c r="AG83" s="3">
        <v>349.92857142857144</v>
      </c>
      <c r="AH83" s="3">
        <v>369.5</v>
      </c>
      <c r="AI83" s="63">
        <f t="shared" si="158"/>
        <v>477.96428571428578</v>
      </c>
      <c r="AJ83" s="7">
        <f t="shared" si="151"/>
        <v>0.27877184577249153</v>
      </c>
      <c r="AK83" s="26">
        <f t="shared" si="159"/>
        <v>1714.5357142857142</v>
      </c>
      <c r="AL83" s="93">
        <f t="shared" si="160"/>
        <v>18946.062750000001</v>
      </c>
      <c r="AM83" s="7">
        <f t="shared" si="148"/>
        <v>0.55335749451110916</v>
      </c>
      <c r="AN83" s="3">
        <f t="shared" si="161"/>
        <v>34238.377428571432</v>
      </c>
      <c r="AO83" s="7">
        <f t="shared" si="162"/>
        <v>0.30524561944040146</v>
      </c>
      <c r="AP83" s="7">
        <f t="shared" si="163"/>
        <v>0.62605460642940025</v>
      </c>
      <c r="AQ83" s="94">
        <f t="shared" si="164"/>
        <v>0.97105560893673837</v>
      </c>
    </row>
    <row r="84" spans="1:43" x14ac:dyDescent="0.15">
      <c r="A84" s="177">
        <v>41275</v>
      </c>
      <c r="B84" s="25">
        <f t="shared" si="54"/>
        <v>0.1519489099317331</v>
      </c>
      <c r="C84" s="51">
        <v>394.28571428571428</v>
      </c>
      <c r="D84" s="3">
        <v>2594.8571428571427</v>
      </c>
      <c r="E84" s="39">
        <f t="shared" si="55"/>
        <v>0.62943705629437052</v>
      </c>
      <c r="F84" s="51">
        <v>899.28571428571433</v>
      </c>
      <c r="G84" s="3">
        <v>1428.7142857142858</v>
      </c>
      <c r="H84" s="39">
        <f t="shared" si="56"/>
        <v>0.92447777182645952</v>
      </c>
      <c r="I84" s="51">
        <v>739.71428571428567</v>
      </c>
      <c r="J84" s="3">
        <v>800.14285714285711</v>
      </c>
      <c r="K84" s="63">
        <f t="shared" si="152"/>
        <v>2033.2857142857142</v>
      </c>
      <c r="L84" s="7">
        <f t="shared" si="149"/>
        <v>0.42151868743706683</v>
      </c>
      <c r="M84" s="26">
        <f t="shared" si="153"/>
        <v>4823.7142857142862</v>
      </c>
      <c r="N84" s="45">
        <f t="shared" si="154"/>
        <v>0.35783396370245818</v>
      </c>
      <c r="O84" s="3">
        <v>4623.6156774193551</v>
      </c>
      <c r="P84" s="174">
        <v>12921.120258064517</v>
      </c>
      <c r="Q84" s="39">
        <f t="shared" si="61"/>
        <v>0.63709929624568662</v>
      </c>
      <c r="R84" s="3">
        <v>3342.239</v>
      </c>
      <c r="S84" s="3">
        <v>5246.0252580645165</v>
      </c>
      <c r="T84" s="39">
        <f t="shared" si="62"/>
        <v>0.97386622713896642</v>
      </c>
      <c r="U84" s="3">
        <v>7201.6220322580648</v>
      </c>
      <c r="V84" s="3">
        <v>7394.8780967741941</v>
      </c>
      <c r="W84" s="63">
        <f t="shared" si="155"/>
        <v>15167.476709677419</v>
      </c>
      <c r="X84" s="7">
        <f t="shared" si="150"/>
        <v>0.59335978009272961</v>
      </c>
      <c r="Y84" s="24">
        <f t="shared" si="156"/>
        <v>25562.023612903227</v>
      </c>
      <c r="Z84" s="25">
        <f t="shared" si="157"/>
        <v>4.3393896630799086E-3</v>
      </c>
      <c r="AA84" s="3">
        <v>3.967741935483871</v>
      </c>
      <c r="AB84" s="3">
        <v>914.35483870967744</v>
      </c>
      <c r="AC84" s="39">
        <f t="shared" si="67"/>
        <v>0.43995899013200046</v>
      </c>
      <c r="AD84" s="3">
        <v>110.74193548387096</v>
      </c>
      <c r="AE84" s="3">
        <v>251.70967741935485</v>
      </c>
      <c r="AF84" s="39">
        <f t="shared" si="68"/>
        <v>0.94681997844053178</v>
      </c>
      <c r="AG84" s="3">
        <v>340</v>
      </c>
      <c r="AH84" s="3">
        <v>359.09677419354841</v>
      </c>
      <c r="AI84" s="63">
        <f t="shared" si="158"/>
        <v>454.70967741935482</v>
      </c>
      <c r="AJ84" s="7">
        <f t="shared" si="151"/>
        <v>0.29813874788494077</v>
      </c>
      <c r="AK84" s="26">
        <f t="shared" si="159"/>
        <v>1525.1612903225807</v>
      </c>
      <c r="AL84" s="93">
        <f t="shared" si="160"/>
        <v>17655.472101382489</v>
      </c>
      <c r="AM84" s="7">
        <f t="shared" si="148"/>
        <v>0.55327403959527566</v>
      </c>
      <c r="AN84" s="3">
        <f t="shared" si="161"/>
        <v>31910.899188940093</v>
      </c>
      <c r="AO84" s="7">
        <f t="shared" si="162"/>
        <v>0.30564623164024551</v>
      </c>
      <c r="AP84" s="7">
        <f t="shared" si="163"/>
        <v>0.6283546606318321</v>
      </c>
      <c r="AQ84" s="94">
        <f t="shared" si="164"/>
        <v>0.96811109937827577</v>
      </c>
    </row>
    <row r="85" spans="1:43" x14ac:dyDescent="0.15">
      <c r="A85" s="177">
        <v>41244</v>
      </c>
      <c r="B85" s="25">
        <f t="shared" si="54"/>
        <v>0.14118936694984927</v>
      </c>
      <c r="C85" s="51">
        <v>368</v>
      </c>
      <c r="D85" s="3">
        <v>2606.4285714285716</v>
      </c>
      <c r="E85" s="39">
        <f t="shared" si="55"/>
        <v>0.63616699113130004</v>
      </c>
      <c r="F85" s="51">
        <v>840.28571428571433</v>
      </c>
      <c r="G85" s="3">
        <v>1320.8571428571429</v>
      </c>
      <c r="H85" s="39">
        <f t="shared" si="56"/>
        <v>0.98914823914823913</v>
      </c>
      <c r="I85" s="51">
        <v>690.14285714285711</v>
      </c>
      <c r="J85" s="3">
        <v>697.71428571428567</v>
      </c>
      <c r="K85" s="63">
        <f t="shared" si="152"/>
        <v>1898.4285714285713</v>
      </c>
      <c r="L85" s="7">
        <f t="shared" si="149"/>
        <v>0.41047104247104244</v>
      </c>
      <c r="M85" s="26">
        <f t="shared" si="153"/>
        <v>4625</v>
      </c>
      <c r="N85" s="45">
        <f t="shared" si="154"/>
        <v>0.3533521483367198</v>
      </c>
      <c r="O85" s="3">
        <v>4250.7177741935484</v>
      </c>
      <c r="P85" s="174">
        <v>12029.692741935483</v>
      </c>
      <c r="Q85" s="39">
        <f t="shared" si="61"/>
        <v>0.65125789753522256</v>
      </c>
      <c r="R85" s="3">
        <v>3370.5466774193546</v>
      </c>
      <c r="S85" s="3">
        <v>5175.4407741935484</v>
      </c>
      <c r="T85" s="39">
        <f t="shared" si="62"/>
        <v>0.97565198811712406</v>
      </c>
      <c r="U85" s="3">
        <v>7419.1462903225811</v>
      </c>
      <c r="V85" s="3">
        <v>7604.2957741935488</v>
      </c>
      <c r="W85" s="63">
        <f t="shared" si="155"/>
        <v>15040.410741935484</v>
      </c>
      <c r="X85" s="7">
        <f t="shared" si="150"/>
        <v>0.60623767543908402</v>
      </c>
      <c r="Y85" s="24">
        <f t="shared" si="156"/>
        <v>24809.42929032258</v>
      </c>
      <c r="Z85" s="25">
        <f t="shared" si="157"/>
        <v>3.9221777795037088E-3</v>
      </c>
      <c r="AA85" s="3">
        <v>3.2580645161290325</v>
      </c>
      <c r="AB85" s="3">
        <v>830.67741935483866</v>
      </c>
      <c r="AC85" s="39">
        <f t="shared" si="67"/>
        <v>0.4420955882352941</v>
      </c>
      <c r="AD85" s="3">
        <v>108.61290322580645</v>
      </c>
      <c r="AE85" s="3">
        <v>245.67741935483872</v>
      </c>
      <c r="AF85" s="39">
        <f t="shared" si="68"/>
        <v>0.95249900833002765</v>
      </c>
      <c r="AG85" s="3">
        <v>309.83870967741933</v>
      </c>
      <c r="AH85" s="3">
        <v>325.29032258064518</v>
      </c>
      <c r="AI85" s="63">
        <f t="shared" si="158"/>
        <v>421.70967741935482</v>
      </c>
      <c r="AJ85" s="7">
        <f t="shared" si="151"/>
        <v>0.30086764401279603</v>
      </c>
      <c r="AK85" s="26">
        <f t="shared" si="159"/>
        <v>1401.6451612903224</v>
      </c>
      <c r="AL85" s="93">
        <f t="shared" si="160"/>
        <v>17360.548990783409</v>
      </c>
      <c r="AM85" s="7">
        <f t="shared" ref="AM85:AM91" si="165">AL85/AN85</f>
        <v>0.56299478125936853</v>
      </c>
      <c r="AN85" s="3">
        <f t="shared" si="161"/>
        <v>30836.074451612902</v>
      </c>
      <c r="AO85" s="7">
        <f t="shared" si="162"/>
        <v>0.2988320930906162</v>
      </c>
      <c r="AP85" s="7">
        <f t="shared" si="163"/>
        <v>0.64067948626370652</v>
      </c>
      <c r="AQ85" s="94">
        <f t="shared" si="164"/>
        <v>0.97587049063828046</v>
      </c>
    </row>
    <row r="86" spans="1:43" x14ac:dyDescent="0.15">
      <c r="A86" s="177">
        <v>41214</v>
      </c>
      <c r="B86" s="25">
        <f t="shared" si="54"/>
        <v>0.12606733349597463</v>
      </c>
      <c r="C86" s="51">
        <v>295.28571428571428</v>
      </c>
      <c r="D86" s="3">
        <v>2342.2857142857142</v>
      </c>
      <c r="E86" s="39">
        <f t="shared" si="55"/>
        <v>0.64398653473426504</v>
      </c>
      <c r="F86" s="51">
        <v>901.85714285714289</v>
      </c>
      <c r="G86" s="3">
        <v>1400.4285714285713</v>
      </c>
      <c r="H86" s="39">
        <f t="shared" si="56"/>
        <v>0.93010752688172038</v>
      </c>
      <c r="I86" s="51">
        <v>815.57142857142856</v>
      </c>
      <c r="J86" s="3">
        <v>876.85714285714289</v>
      </c>
      <c r="K86" s="63">
        <f t="shared" si="152"/>
        <v>2012.7142857142858</v>
      </c>
      <c r="L86" s="7">
        <f t="shared" ref="L86:L92" si="166">K86/M86</f>
        <v>0.43569285957262582</v>
      </c>
      <c r="M86" s="26">
        <f t="shared" si="153"/>
        <v>4619.5714285714284</v>
      </c>
      <c r="N86" s="45">
        <f t="shared" si="154"/>
        <v>0.33859274075298745</v>
      </c>
      <c r="O86" s="3">
        <v>3545.7322333333336</v>
      </c>
      <c r="P86" s="174">
        <v>10471.967666666667</v>
      </c>
      <c r="Q86" s="39">
        <f t="shared" si="61"/>
        <v>0.65589788735528998</v>
      </c>
      <c r="R86" s="3">
        <v>3438.2487333333333</v>
      </c>
      <c r="S86" s="3">
        <v>5242.0488000000005</v>
      </c>
      <c r="T86" s="39">
        <f t="shared" si="62"/>
        <v>0.97762112634323306</v>
      </c>
      <c r="U86" s="3">
        <v>7921.5905999999995</v>
      </c>
      <c r="V86" s="3">
        <v>8102.9249333333328</v>
      </c>
      <c r="W86" s="63">
        <f t="shared" si="155"/>
        <v>14905.571566666667</v>
      </c>
      <c r="X86" s="7">
        <f t="shared" ref="X86:X92" si="167">W86/Y86</f>
        <v>0.62583903265877239</v>
      </c>
      <c r="Y86" s="24">
        <f t="shared" si="156"/>
        <v>23816.9414</v>
      </c>
      <c r="Z86" s="25">
        <f t="shared" si="157"/>
        <v>3.6766296120074398E-3</v>
      </c>
      <c r="AA86" s="3">
        <v>2.8333333333333335</v>
      </c>
      <c r="AB86" s="3">
        <v>770.63333333333333</v>
      </c>
      <c r="AC86" s="39">
        <f t="shared" si="67"/>
        <v>0.44750919424941488</v>
      </c>
      <c r="AD86" s="3">
        <v>89.233333333333334</v>
      </c>
      <c r="AE86" s="3">
        <v>199.4</v>
      </c>
      <c r="AF86" s="39">
        <f t="shared" si="68"/>
        <v>0.95174092496560481</v>
      </c>
      <c r="AG86" s="3">
        <v>299.76666666666665</v>
      </c>
      <c r="AH86" s="3">
        <v>314.96666666666664</v>
      </c>
      <c r="AI86" s="63">
        <f t="shared" si="158"/>
        <v>391.83333333333331</v>
      </c>
      <c r="AJ86" s="7">
        <f t="shared" si="151"/>
        <v>0.30492866407263292</v>
      </c>
      <c r="AK86" s="26">
        <f t="shared" si="159"/>
        <v>1285</v>
      </c>
      <c r="AL86" s="93">
        <f t="shared" si="160"/>
        <v>17310.119185714288</v>
      </c>
      <c r="AM86" s="7">
        <f t="shared" si="165"/>
        <v>0.58241043400300907</v>
      </c>
      <c r="AN86" s="3">
        <f t="shared" si="161"/>
        <v>29721.512828571427</v>
      </c>
      <c r="AO86" s="7">
        <f t="shared" si="162"/>
        <v>0.28295055835174765</v>
      </c>
      <c r="AP86" s="7">
        <f t="shared" si="163"/>
        <v>0.64738652405852337</v>
      </c>
      <c r="AQ86" s="94">
        <f t="shared" si="164"/>
        <v>0.97226175179644558</v>
      </c>
    </row>
    <row r="87" spans="1:43" x14ac:dyDescent="0.15">
      <c r="A87" s="177">
        <v>41183</v>
      </c>
      <c r="B87" s="25">
        <f t="shared" si="54"/>
        <v>0.10998182674833411</v>
      </c>
      <c r="C87" s="51">
        <v>233.42857142857142</v>
      </c>
      <c r="D87" s="3">
        <v>2122.4285714285716</v>
      </c>
      <c r="E87" s="39">
        <f t="shared" si="55"/>
        <v>0.63394495412844032</v>
      </c>
      <c r="F87" s="51">
        <v>789.71428571428567</v>
      </c>
      <c r="G87" s="3">
        <v>1245.7142857142858</v>
      </c>
      <c r="H87" s="39">
        <f t="shared" si="56"/>
        <v>0.98447472830774552</v>
      </c>
      <c r="I87" s="51">
        <v>815.28571428571433</v>
      </c>
      <c r="J87" s="3">
        <v>828.14285714285711</v>
      </c>
      <c r="K87" s="63">
        <f t="shared" si="152"/>
        <v>1838.4285714285716</v>
      </c>
      <c r="L87" s="7">
        <f t="shared" si="166"/>
        <v>0.43810853135425887</v>
      </c>
      <c r="M87" s="26">
        <f t="shared" si="153"/>
        <v>4196.2857142857147</v>
      </c>
      <c r="N87" s="45">
        <f t="shared" si="154"/>
        <v>0.31886312320350951</v>
      </c>
      <c r="O87" s="3">
        <v>3156.8820000000001</v>
      </c>
      <c r="P87" s="174">
        <v>9900.4299032258059</v>
      </c>
      <c r="Q87" s="39">
        <f t="shared" si="61"/>
        <v>0.63938327131239181</v>
      </c>
      <c r="R87" s="3">
        <v>3303.5010322580647</v>
      </c>
      <c r="S87" s="3">
        <v>5166.6991935483875</v>
      </c>
      <c r="T87" s="39">
        <f t="shared" si="62"/>
        <v>0.97119112169650146</v>
      </c>
      <c r="U87" s="3">
        <v>7506.4411935483868</v>
      </c>
      <c r="V87" s="3">
        <v>7729.1081290322581</v>
      </c>
      <c r="W87" s="63">
        <f t="shared" si="155"/>
        <v>13966.824225806453</v>
      </c>
      <c r="X87" s="7">
        <f t="shared" si="167"/>
        <v>0.6126811230932151</v>
      </c>
      <c r="Y87" s="24">
        <f t="shared" si="156"/>
        <v>22796.23722580645</v>
      </c>
      <c r="Z87" s="25">
        <f t="shared" si="157"/>
        <v>3.7937654264558001E-3</v>
      </c>
      <c r="AA87" s="3">
        <v>2.6774193548387095</v>
      </c>
      <c r="AB87" s="3">
        <v>705.74193548387098</v>
      </c>
      <c r="AC87" s="39">
        <f t="shared" si="67"/>
        <v>0.44580534703015934</v>
      </c>
      <c r="AD87" s="3">
        <v>109.19354838709677</v>
      </c>
      <c r="AE87" s="3">
        <v>244.93548387096774</v>
      </c>
      <c r="AF87" s="39">
        <f t="shared" si="68"/>
        <v>0.96063552288356657</v>
      </c>
      <c r="AG87" s="3">
        <v>392.03225806451616</v>
      </c>
      <c r="AH87" s="3">
        <v>408.09677419354841</v>
      </c>
      <c r="AI87" s="63">
        <f t="shared" si="158"/>
        <v>503.90322580645164</v>
      </c>
      <c r="AJ87" s="7">
        <f t="shared" ref="AJ87:AJ92" si="168">AI87/AK87</f>
        <v>0.37085133659370401</v>
      </c>
      <c r="AK87" s="26">
        <f t="shared" si="159"/>
        <v>1358.7741935483871</v>
      </c>
      <c r="AL87" s="93">
        <f t="shared" si="160"/>
        <v>16309.156023041476</v>
      </c>
      <c r="AM87" s="7">
        <f t="shared" si="165"/>
        <v>0.57525255180263568</v>
      </c>
      <c r="AN87" s="3">
        <f t="shared" si="161"/>
        <v>28351.29713364055</v>
      </c>
      <c r="AO87" s="7">
        <f t="shared" si="162"/>
        <v>0.26656410614327375</v>
      </c>
      <c r="AP87" s="7">
        <f t="shared" si="163"/>
        <v>0.63124359104969552</v>
      </c>
      <c r="AQ87" s="94">
        <f t="shared" si="164"/>
        <v>0.97193766475158994</v>
      </c>
    </row>
    <row r="88" spans="1:43" x14ac:dyDescent="0.15">
      <c r="A88" s="177">
        <v>41153</v>
      </c>
      <c r="B88" s="25">
        <f t="shared" si="54"/>
        <v>0.10697452011749436</v>
      </c>
      <c r="C88" s="51">
        <v>223.71428571428572</v>
      </c>
      <c r="D88" s="3">
        <v>2091.2857142857142</v>
      </c>
      <c r="E88" s="39">
        <f t="shared" si="55"/>
        <v>0.62625820568927781</v>
      </c>
      <c r="F88" s="51">
        <v>817.71428571428567</v>
      </c>
      <c r="G88" s="3">
        <v>1305.7142857142858</v>
      </c>
      <c r="H88" s="39">
        <f t="shared" si="56"/>
        <v>0.96255770217131142</v>
      </c>
      <c r="I88" s="51">
        <v>804.28571428571433</v>
      </c>
      <c r="J88" s="3">
        <v>835.57142857142856</v>
      </c>
      <c r="K88" s="63">
        <f t="shared" ref="K88:K93" si="169">SUM(C88+F88+I88)</f>
        <v>1845.7142857142858</v>
      </c>
      <c r="L88" s="7">
        <f t="shared" si="166"/>
        <v>0.43607398406912384</v>
      </c>
      <c r="M88" s="26">
        <f t="shared" ref="M88:M93" si="170">SUM(J88+G88+D88)</f>
        <v>4232.5714285714284</v>
      </c>
      <c r="N88" s="45">
        <f t="shared" si="154"/>
        <v>0.30403251159746614</v>
      </c>
      <c r="O88" s="3">
        <v>3449.0062666666663</v>
      </c>
      <c r="P88" s="174">
        <v>11344.202133333332</v>
      </c>
      <c r="Q88" s="39">
        <f t="shared" si="61"/>
        <v>0.62104778598751675</v>
      </c>
      <c r="R88" s="3">
        <v>3751.0831666666663</v>
      </c>
      <c r="S88" s="3">
        <v>6039.9267999999993</v>
      </c>
      <c r="T88" s="39">
        <f t="shared" si="62"/>
        <v>0.97213949824495527</v>
      </c>
      <c r="U88" s="3">
        <v>7964.574066666667</v>
      </c>
      <c r="V88" s="3">
        <v>8192.8304333333344</v>
      </c>
      <c r="W88" s="63">
        <f t="shared" ref="W88:W93" si="171">+U88+O88+R88</f>
        <v>15164.663499999999</v>
      </c>
      <c r="X88" s="7">
        <f t="shared" si="167"/>
        <v>0.59290329560297317</v>
      </c>
      <c r="Y88" s="24">
        <f t="shared" ref="Y88:Y93" si="172">+V88+S88+P88</f>
        <v>25576.959366666666</v>
      </c>
      <c r="Z88" s="25">
        <f t="shared" si="157"/>
        <v>3.7556922210224873E-3</v>
      </c>
      <c r="AA88" s="3">
        <v>2.6666666666666665</v>
      </c>
      <c r="AB88" s="3">
        <v>710.0333333333333</v>
      </c>
      <c r="AC88" s="39">
        <f t="shared" si="67"/>
        <v>0.46120927664273881</v>
      </c>
      <c r="AD88" s="3">
        <v>111.36666666666666</v>
      </c>
      <c r="AE88" s="3">
        <v>241.46666666666667</v>
      </c>
      <c r="AF88" s="39">
        <f t="shared" si="68"/>
        <v>0.95679076002887486</v>
      </c>
      <c r="AG88" s="3">
        <v>309.26666666666665</v>
      </c>
      <c r="AH88" s="3">
        <v>323.23333333333335</v>
      </c>
      <c r="AI88" s="63">
        <f t="shared" ref="AI88:AI93" si="173">AG88+AD88+AA88</f>
        <v>423.3</v>
      </c>
      <c r="AJ88" s="7">
        <f t="shared" si="168"/>
        <v>0.33206945243449609</v>
      </c>
      <c r="AK88" s="26">
        <f t="shared" ref="AK88:AK93" si="174">+AH88+AE88+AB88</f>
        <v>1274.7333333333333</v>
      </c>
      <c r="AL88" s="93">
        <f t="shared" ref="AL88:AL93" si="175">+AI88+W88+K88</f>
        <v>17433.677785714284</v>
      </c>
      <c r="AM88" s="7">
        <f t="shared" si="165"/>
        <v>0.56085219561913113</v>
      </c>
      <c r="AN88" s="3">
        <f t="shared" ref="AN88:AN93" si="176">+AK88+Y88+M88</f>
        <v>31084.264128571427</v>
      </c>
      <c r="AO88" s="7">
        <f t="shared" ref="AO88:AO93" si="177">(+AA88+O88+C88)/(D88+P88+AB88)</f>
        <v>0.25982692132946672</v>
      </c>
      <c r="AP88" s="7">
        <f t="shared" ref="AP88:AP93" si="178">(+AD88+R88+F88)/(G88+S88+AE88)</f>
        <v>0.61685747346594766</v>
      </c>
      <c r="AQ88" s="94">
        <f t="shared" ref="AQ88:AQ93" si="179">(AG88+U88+I88)/(AH88+V88+J88)</f>
        <v>0.97075284248060478</v>
      </c>
    </row>
    <row r="89" spans="1:43" x14ac:dyDescent="0.15">
      <c r="A89" s="177">
        <v>41122</v>
      </c>
      <c r="B89" s="25">
        <f t="shared" si="54"/>
        <v>0.10165499287175354</v>
      </c>
      <c r="C89" s="51">
        <v>234.28571428571428</v>
      </c>
      <c r="D89" s="3">
        <v>2304.7142857142858</v>
      </c>
      <c r="E89" s="39">
        <f t="shared" si="55"/>
        <v>0.61187036313939869</v>
      </c>
      <c r="F89" s="51">
        <v>895.42857142857144</v>
      </c>
      <c r="G89" s="3">
        <v>1463.4285714285713</v>
      </c>
      <c r="H89" s="39">
        <f t="shared" si="56"/>
        <v>0.84816259009807393</v>
      </c>
      <c r="I89" s="51">
        <v>1025.4285714285713</v>
      </c>
      <c r="J89" s="3">
        <v>1209</v>
      </c>
      <c r="K89" s="63">
        <f t="shared" si="169"/>
        <v>2155.1428571428569</v>
      </c>
      <c r="L89" s="7">
        <f t="shared" si="166"/>
        <v>0.43300803673937999</v>
      </c>
      <c r="M89" s="26">
        <f t="shared" si="170"/>
        <v>4977.1428571428569</v>
      </c>
      <c r="N89" s="45">
        <f t="shared" si="154"/>
        <v>0.29497543635885004</v>
      </c>
      <c r="O89" s="3">
        <v>3650.0181612903225</v>
      </c>
      <c r="P89" s="174">
        <v>12373.973258064518</v>
      </c>
      <c r="Q89" s="39">
        <f t="shared" si="61"/>
        <v>0.60920278081675183</v>
      </c>
      <c r="R89" s="3">
        <v>3788.9000645161291</v>
      </c>
      <c r="S89" s="3">
        <v>6219.4398709677425</v>
      </c>
      <c r="T89" s="39">
        <f t="shared" si="62"/>
        <v>0.968513955627473</v>
      </c>
      <c r="U89" s="3">
        <v>8007.077967741935</v>
      </c>
      <c r="V89" s="3">
        <v>8267.3852258064508</v>
      </c>
      <c r="W89" s="63">
        <f t="shared" si="171"/>
        <v>15445.996193548386</v>
      </c>
      <c r="X89" s="7">
        <f t="shared" si="167"/>
        <v>0.57503861164148684</v>
      </c>
      <c r="Y89" s="24">
        <f t="shared" si="172"/>
        <v>26860.798354838713</v>
      </c>
      <c r="Z89" s="25">
        <f t="shared" si="157"/>
        <v>4.3101571683573517E-3</v>
      </c>
      <c r="AA89" s="3">
        <v>3.193548387096774</v>
      </c>
      <c r="AB89" s="3">
        <v>740.93548387096769</v>
      </c>
      <c r="AC89" s="39">
        <f t="shared" si="67"/>
        <v>0.45293818366827776</v>
      </c>
      <c r="AD89" s="3">
        <v>114.87096774193549</v>
      </c>
      <c r="AE89" s="3">
        <v>253.61290322580646</v>
      </c>
      <c r="AF89" s="39">
        <f t="shared" si="68"/>
        <v>0.943630214205186</v>
      </c>
      <c r="AG89" s="3">
        <v>270</v>
      </c>
      <c r="AH89" s="3">
        <v>286.12903225806451</v>
      </c>
      <c r="AI89" s="63">
        <f t="shared" si="173"/>
        <v>388.06451612903226</v>
      </c>
      <c r="AJ89" s="7">
        <f t="shared" si="168"/>
        <v>0.3030150374045994</v>
      </c>
      <c r="AK89" s="26">
        <f t="shared" si="174"/>
        <v>1280.6774193548385</v>
      </c>
      <c r="AL89" s="93">
        <f t="shared" si="175"/>
        <v>17989.203566820273</v>
      </c>
      <c r="AM89" s="7">
        <f t="shared" si="165"/>
        <v>0.54317493634227609</v>
      </c>
      <c r="AN89" s="3">
        <f t="shared" si="176"/>
        <v>33118.618631336409</v>
      </c>
      <c r="AO89" s="7">
        <f t="shared" si="177"/>
        <v>0.25211364875731712</v>
      </c>
      <c r="AP89" s="7">
        <f t="shared" si="178"/>
        <v>0.60470117608654672</v>
      </c>
      <c r="AQ89" s="94">
        <f t="shared" si="179"/>
        <v>0.95288020004539176</v>
      </c>
    </row>
    <row r="90" spans="1:43" x14ac:dyDescent="0.15">
      <c r="A90" s="177">
        <v>41091</v>
      </c>
      <c r="B90" s="25">
        <f t="shared" si="54"/>
        <v>0.1013338161627135</v>
      </c>
      <c r="C90" s="51">
        <v>239.85714285714286</v>
      </c>
      <c r="D90" s="3">
        <v>2367</v>
      </c>
      <c r="E90" s="39">
        <f t="shared" si="55"/>
        <v>0.63935211807552228</v>
      </c>
      <c r="F90" s="51">
        <v>953</v>
      </c>
      <c r="G90" s="3">
        <v>1490.5714285714287</v>
      </c>
      <c r="H90" s="39">
        <f t="shared" si="56"/>
        <v>0.95187969924812033</v>
      </c>
      <c r="I90" s="51">
        <v>904.28571428571433</v>
      </c>
      <c r="J90" s="3">
        <v>950</v>
      </c>
      <c r="K90" s="63">
        <f t="shared" si="169"/>
        <v>2097.1428571428573</v>
      </c>
      <c r="L90" s="7">
        <f t="shared" si="166"/>
        <v>0.4362166820194337</v>
      </c>
      <c r="M90" s="26">
        <f t="shared" si="170"/>
        <v>4807.5714285714284</v>
      </c>
      <c r="N90" s="45">
        <f t="shared" si="154"/>
        <v>0.27860511878294481</v>
      </c>
      <c r="O90" s="3">
        <v>3216.722548387097</v>
      </c>
      <c r="P90" s="174">
        <v>11545.812806451613</v>
      </c>
      <c r="Q90" s="39">
        <f t="shared" si="61"/>
        <v>0.60860491173438103</v>
      </c>
      <c r="R90" s="3">
        <v>3602.5481935483872</v>
      </c>
      <c r="S90" s="3">
        <v>5919.3544516129041</v>
      </c>
      <c r="T90" s="39">
        <f t="shared" si="62"/>
        <v>0.96944843972037043</v>
      </c>
      <c r="U90" s="3">
        <v>7985.5768387096778</v>
      </c>
      <c r="V90" s="3">
        <v>8237.2372903225805</v>
      </c>
      <c r="W90" s="63">
        <f t="shared" si="171"/>
        <v>14804.847580645162</v>
      </c>
      <c r="X90" s="7">
        <f t="shared" si="167"/>
        <v>0.5760102154167599</v>
      </c>
      <c r="Y90" s="24">
        <f t="shared" si="172"/>
        <v>25702.404548387098</v>
      </c>
      <c r="Z90" s="25">
        <f t="shared" si="157"/>
        <v>4.3387050634118435E-3</v>
      </c>
      <c r="AA90" s="3">
        <v>2.935483870967742</v>
      </c>
      <c r="AB90" s="3">
        <v>676.58064516129036</v>
      </c>
      <c r="AC90" s="39">
        <f t="shared" si="67"/>
        <v>0.46180728906640045</v>
      </c>
      <c r="AD90" s="3">
        <v>119.35483870967742</v>
      </c>
      <c r="AE90" s="3">
        <v>258.45161290322579</v>
      </c>
      <c r="AF90" s="39">
        <f t="shared" si="68"/>
        <v>0.96768320436959476</v>
      </c>
      <c r="AG90" s="3">
        <v>342.90322580645159</v>
      </c>
      <c r="AH90" s="3">
        <v>354.35483870967744</v>
      </c>
      <c r="AI90" s="63">
        <f t="shared" si="173"/>
        <v>465.19354838709677</v>
      </c>
      <c r="AJ90" s="7">
        <f t="shared" si="168"/>
        <v>0.36078657026344096</v>
      </c>
      <c r="AK90" s="26">
        <f t="shared" si="174"/>
        <v>1289.3870967741937</v>
      </c>
      <c r="AL90" s="93">
        <f t="shared" si="175"/>
        <v>17367.183986175118</v>
      </c>
      <c r="AM90" s="7">
        <f t="shared" si="165"/>
        <v>0.54614880008464584</v>
      </c>
      <c r="AN90" s="3">
        <f t="shared" si="176"/>
        <v>31799.363073732718</v>
      </c>
      <c r="AO90" s="7">
        <f t="shared" si="177"/>
        <v>0.23712536004934101</v>
      </c>
      <c r="AP90" s="7">
        <f t="shared" si="178"/>
        <v>0.60963392014440132</v>
      </c>
      <c r="AQ90" s="94">
        <f t="shared" si="179"/>
        <v>0.96763366678703977</v>
      </c>
    </row>
    <row r="91" spans="1:43" x14ac:dyDescent="0.15">
      <c r="A91" s="177">
        <v>41061</v>
      </c>
      <c r="B91" s="25">
        <f t="shared" si="54"/>
        <v>9.5520812718517062E-2</v>
      </c>
      <c r="C91" s="51">
        <v>206.85714285714286</v>
      </c>
      <c r="D91" s="3">
        <v>2165.5714285714284</v>
      </c>
      <c r="E91" s="39">
        <f t="shared" si="55"/>
        <v>0.61083349990005997</v>
      </c>
      <c r="F91" s="51">
        <v>873.14285714285711</v>
      </c>
      <c r="G91" s="3">
        <v>1429.4285714285713</v>
      </c>
      <c r="H91" s="39">
        <f t="shared" si="56"/>
        <v>0.93431372549019609</v>
      </c>
      <c r="I91" s="51">
        <v>816.85714285714289</v>
      </c>
      <c r="J91" s="3">
        <v>874.28571428571433</v>
      </c>
      <c r="K91" s="63">
        <f t="shared" si="169"/>
        <v>1896.8571428571429</v>
      </c>
      <c r="L91" s="7">
        <f t="shared" si="166"/>
        <v>0.42442064887326203</v>
      </c>
      <c r="M91" s="26">
        <f t="shared" si="170"/>
        <v>4469.2857142857138</v>
      </c>
      <c r="N91" s="45">
        <f t="shared" si="154"/>
        <v>0.26412870803069871</v>
      </c>
      <c r="O91" s="4">
        <v>2763.6211000000003</v>
      </c>
      <c r="P91" s="181">
        <v>10463.160633333333</v>
      </c>
      <c r="Q91" s="39">
        <f t="shared" si="61"/>
        <v>0.61701219981431799</v>
      </c>
      <c r="R91" s="3">
        <v>3455.1590666666666</v>
      </c>
      <c r="S91" s="3">
        <v>5599.8229333333329</v>
      </c>
      <c r="T91" s="39">
        <f t="shared" si="62"/>
        <v>0.96898595077305849</v>
      </c>
      <c r="U91" s="3">
        <v>7798.6832000000004</v>
      </c>
      <c r="V91" s="3">
        <v>8048.2933666666668</v>
      </c>
      <c r="W91" s="63">
        <f t="shared" si="171"/>
        <v>14017.463366666667</v>
      </c>
      <c r="X91" s="7">
        <f t="shared" si="167"/>
        <v>0.58136545009309804</v>
      </c>
      <c r="Y91" s="24">
        <f t="shared" si="172"/>
        <v>24111.276933333334</v>
      </c>
      <c r="Z91" s="25">
        <f t="shared" si="157"/>
        <v>4.2352488208682254E-3</v>
      </c>
      <c r="AA91" s="3">
        <v>2.9333333333333331</v>
      </c>
      <c r="AB91" s="3">
        <v>692.6</v>
      </c>
      <c r="AC91" s="39">
        <f t="shared" si="67"/>
        <v>0.45086218982195431</v>
      </c>
      <c r="AD91" s="3">
        <v>107.2</v>
      </c>
      <c r="AE91" s="3">
        <v>237.76666666666668</v>
      </c>
      <c r="AF91" s="39">
        <f t="shared" si="68"/>
        <v>0.95324454519693969</v>
      </c>
      <c r="AG91" s="3">
        <v>336.4</v>
      </c>
      <c r="AH91" s="3">
        <v>352.9</v>
      </c>
      <c r="AI91" s="63">
        <f t="shared" si="173"/>
        <v>446.5333333333333</v>
      </c>
      <c r="AJ91" s="7">
        <f t="shared" si="168"/>
        <v>0.34796612811055116</v>
      </c>
      <c r="AK91" s="26">
        <f t="shared" si="174"/>
        <v>1283.2666666666667</v>
      </c>
      <c r="AL91" s="93">
        <f t="shared" si="175"/>
        <v>16360.853842857143</v>
      </c>
      <c r="AM91" s="7">
        <f t="shared" si="165"/>
        <v>0.54784849158747151</v>
      </c>
      <c r="AN91" s="3">
        <f t="shared" si="176"/>
        <v>29863.829314285715</v>
      </c>
      <c r="AO91" s="7">
        <f t="shared" si="177"/>
        <v>0.22320677559668314</v>
      </c>
      <c r="AP91" s="7">
        <f t="shared" si="178"/>
        <v>0.61036064850482963</v>
      </c>
      <c r="AQ91" s="94">
        <f t="shared" si="179"/>
        <v>0.96511891889663792</v>
      </c>
    </row>
    <row r="92" spans="1:43" x14ac:dyDescent="0.15">
      <c r="A92" s="177">
        <v>41030</v>
      </c>
      <c r="B92" s="25">
        <f t="shared" si="54"/>
        <v>8.9098103424750996E-2</v>
      </c>
      <c r="C92" s="51">
        <v>186.57142857142858</v>
      </c>
      <c r="D92" s="3">
        <v>2094</v>
      </c>
      <c r="E92" s="39">
        <f t="shared" si="55"/>
        <v>0.59655285980898021</v>
      </c>
      <c r="F92" s="51">
        <v>776.28571428571433</v>
      </c>
      <c r="G92" s="3">
        <v>1301.2857142857142</v>
      </c>
      <c r="H92" s="39">
        <f t="shared" si="56"/>
        <v>0.90413566360962105</v>
      </c>
      <c r="I92" s="51">
        <v>746.42857142857144</v>
      </c>
      <c r="J92" s="3">
        <v>825.57142857142856</v>
      </c>
      <c r="K92" s="63">
        <f t="shared" si="169"/>
        <v>1709.2857142857142</v>
      </c>
      <c r="L92" s="7">
        <f t="shared" si="166"/>
        <v>0.40496175455222361</v>
      </c>
      <c r="M92" s="26">
        <f t="shared" si="170"/>
        <v>4220.8571428571431</v>
      </c>
      <c r="N92" s="45">
        <f t="shared" si="154"/>
        <v>0.24922627125689836</v>
      </c>
      <c r="O92" s="4">
        <v>2242.157709677419</v>
      </c>
      <c r="P92" s="181">
        <v>8996.4741612903217</v>
      </c>
      <c r="Q92" s="39">
        <f t="shared" si="61"/>
        <v>0.61875628502355351</v>
      </c>
      <c r="R92" s="3">
        <v>2910.070548387097</v>
      </c>
      <c r="S92" s="3">
        <v>4703.0965483870968</v>
      </c>
      <c r="T92" s="39">
        <f t="shared" si="62"/>
        <v>0.97210986981805969</v>
      </c>
      <c r="U92" s="3">
        <v>6951.9906129032261</v>
      </c>
      <c r="V92" s="3">
        <v>7151.44535483871</v>
      </c>
      <c r="W92" s="63">
        <f t="shared" si="171"/>
        <v>12104.218870967741</v>
      </c>
      <c r="X92" s="7">
        <f t="shared" si="167"/>
        <v>0.58050978587880309</v>
      </c>
      <c r="Y92" s="24">
        <f t="shared" si="172"/>
        <v>20851.01606451613</v>
      </c>
      <c r="Z92" s="25">
        <f t="shared" si="157"/>
        <v>4.0710221699038649E-3</v>
      </c>
      <c r="AA92" s="3">
        <v>2.6774193548387095</v>
      </c>
      <c r="AB92" s="3">
        <v>657.67741935483866</v>
      </c>
      <c r="AC92" s="39">
        <f t="shared" si="67"/>
        <v>0.47542475728155337</v>
      </c>
      <c r="AD92" s="3">
        <v>101.09677419354838</v>
      </c>
      <c r="AE92" s="40">
        <v>212.64516129032259</v>
      </c>
      <c r="AF92" s="7">
        <f t="shared" si="68"/>
        <v>0.94058744993324428</v>
      </c>
      <c r="AG92" s="3">
        <v>272.70967741935482</v>
      </c>
      <c r="AH92" s="3">
        <v>289.93548387096774</v>
      </c>
      <c r="AI92" s="63">
        <f t="shared" si="173"/>
        <v>376.48387096774189</v>
      </c>
      <c r="AJ92" s="7">
        <f t="shared" si="168"/>
        <v>0.3244828736654804</v>
      </c>
      <c r="AK92" s="26">
        <f t="shared" si="174"/>
        <v>1160.258064516129</v>
      </c>
      <c r="AL92" s="93">
        <f t="shared" si="175"/>
        <v>14189.988456221197</v>
      </c>
      <c r="AM92" s="7">
        <f t="shared" ref="AM92:AM98" si="180">AL92/AN92</f>
        <v>0.54093921340761664</v>
      </c>
      <c r="AN92" s="3">
        <f t="shared" si="176"/>
        <v>26232.131271889404</v>
      </c>
      <c r="AO92" s="7">
        <f t="shared" si="177"/>
        <v>0.20696077514094885</v>
      </c>
      <c r="AP92" s="7">
        <f t="shared" si="178"/>
        <v>0.60920642271383019</v>
      </c>
      <c r="AQ92" s="94">
        <f t="shared" si="179"/>
        <v>0.96421614689844493</v>
      </c>
    </row>
    <row r="93" spans="1:43" x14ac:dyDescent="0.15">
      <c r="A93" s="177">
        <v>41000</v>
      </c>
      <c r="B93" s="25">
        <f t="shared" si="54"/>
        <v>8.0094144497539405E-2</v>
      </c>
      <c r="C93" s="51">
        <v>160.42857142857142</v>
      </c>
      <c r="D93" s="3">
        <v>2003</v>
      </c>
      <c r="E93" s="39">
        <f t="shared" si="55"/>
        <v>0.57789509154217678</v>
      </c>
      <c r="F93" s="51">
        <v>735</v>
      </c>
      <c r="G93" s="3">
        <v>1271.8571428571429</v>
      </c>
      <c r="H93" s="39">
        <f t="shared" si="56"/>
        <v>0.92652529761904756</v>
      </c>
      <c r="I93" s="51">
        <v>711.57142857142856</v>
      </c>
      <c r="J93" s="3">
        <v>768</v>
      </c>
      <c r="K93" s="63">
        <f t="shared" si="169"/>
        <v>1607</v>
      </c>
      <c r="L93" s="7">
        <f t="shared" ref="L93:L99" si="181">K93/M93</f>
        <v>0.39749116607773849</v>
      </c>
      <c r="M93" s="26">
        <f t="shared" si="170"/>
        <v>4042.8571428571431</v>
      </c>
      <c r="N93" s="45">
        <f t="shared" si="154"/>
        <v>0.2159630854261734</v>
      </c>
      <c r="O93" s="4">
        <v>2285.5747666666666</v>
      </c>
      <c r="P93" s="181">
        <v>10583.173333333332</v>
      </c>
      <c r="Q93" s="39">
        <f t="shared" si="61"/>
        <v>0.60265316752688247</v>
      </c>
      <c r="R93" s="3">
        <v>3142.4527000000003</v>
      </c>
      <c r="S93" s="3">
        <v>5214.3635333333332</v>
      </c>
      <c r="T93" s="39">
        <f t="shared" si="62"/>
        <v>0.97755175383500936</v>
      </c>
      <c r="U93" s="3">
        <v>8184.6373666666659</v>
      </c>
      <c r="V93" s="3">
        <v>8372.5872666666655</v>
      </c>
      <c r="W93" s="63">
        <f t="shared" si="171"/>
        <v>13612.664833333332</v>
      </c>
      <c r="X93" s="7">
        <f t="shared" ref="X93:X99" si="182">W93/Y93</f>
        <v>0.56320210679265525</v>
      </c>
      <c r="Y93" s="24">
        <f t="shared" si="172"/>
        <v>24170.124133333331</v>
      </c>
      <c r="Z93" s="25">
        <f t="shared" si="157"/>
        <v>3.5364161332199291E-3</v>
      </c>
      <c r="AA93" s="3">
        <v>2.6333333333333333</v>
      </c>
      <c r="AB93" s="3">
        <v>744.63333333333333</v>
      </c>
      <c r="AC93" s="39">
        <f t="shared" si="67"/>
        <v>0.44400000000000001</v>
      </c>
      <c r="AD93" s="3">
        <v>107.3</v>
      </c>
      <c r="AE93" s="40">
        <v>241.66666666666666</v>
      </c>
      <c r="AF93" s="7">
        <f t="shared" si="68"/>
        <v>0.95392165772971016</v>
      </c>
      <c r="AG93" s="3">
        <v>349.86666666666667</v>
      </c>
      <c r="AH93" s="3">
        <v>366.76666666666665</v>
      </c>
      <c r="AI93" s="63">
        <f t="shared" si="173"/>
        <v>459.8</v>
      </c>
      <c r="AJ93" s="7">
        <f t="shared" ref="AJ93:AJ99" si="183">AI93/AK93</f>
        <v>0.33982065431612141</v>
      </c>
      <c r="AK93" s="26">
        <f t="shared" si="174"/>
        <v>1353.0666666666666</v>
      </c>
      <c r="AL93" s="93">
        <f t="shared" si="175"/>
        <v>15679.464833333332</v>
      </c>
      <c r="AM93" s="7">
        <f t="shared" si="180"/>
        <v>0.53031994210512434</v>
      </c>
      <c r="AN93" s="3">
        <f t="shared" si="176"/>
        <v>29566.047942857142</v>
      </c>
      <c r="AO93" s="7">
        <f t="shared" si="177"/>
        <v>0.18368255820192214</v>
      </c>
      <c r="AP93" s="7">
        <f t="shared" si="178"/>
        <v>0.59227399285015214</v>
      </c>
      <c r="AQ93" s="94">
        <f t="shared" si="179"/>
        <v>0.9725182765614192</v>
      </c>
    </row>
    <row r="94" spans="1:43" x14ac:dyDescent="0.15">
      <c r="A94" s="177">
        <v>40969</v>
      </c>
      <c r="B94" s="25">
        <f t="shared" si="54"/>
        <v>6.8501170960187346E-2</v>
      </c>
      <c r="C94" s="51">
        <v>150.42857142857142</v>
      </c>
      <c r="D94" s="3">
        <v>2196</v>
      </c>
      <c r="E94" s="39">
        <f t="shared" si="55"/>
        <v>0.57483400457167744</v>
      </c>
      <c r="F94" s="51">
        <v>754.42857142857144</v>
      </c>
      <c r="G94" s="3">
        <v>1312.4285714285713</v>
      </c>
      <c r="H94" s="39">
        <f t="shared" si="56"/>
        <v>0.97380557092787301</v>
      </c>
      <c r="I94" s="51">
        <v>754.14285714285711</v>
      </c>
      <c r="J94" s="3">
        <v>774.42857142857144</v>
      </c>
      <c r="K94" s="63">
        <f t="shared" ref="K94:K99" si="184">SUM(C94+F94+I94)</f>
        <v>1659</v>
      </c>
      <c r="L94" s="7">
        <f t="shared" si="181"/>
        <v>0.38735823882588388</v>
      </c>
      <c r="M94" s="26">
        <f t="shared" ref="M94:M99" si="185">SUM(J94+G94+D94)</f>
        <v>4282.8571428571431</v>
      </c>
      <c r="N94" s="45">
        <f t="shared" si="154"/>
        <v>0.16554963980287132</v>
      </c>
      <c r="O94" s="4">
        <v>1756.8124838709678</v>
      </c>
      <c r="P94" s="181">
        <v>10611.998225806452</v>
      </c>
      <c r="Q94" s="39">
        <f t="shared" si="61"/>
        <v>0.5914747923274184</v>
      </c>
      <c r="R94" s="3">
        <v>2840.1718387096776</v>
      </c>
      <c r="S94" s="3">
        <v>4801.8476451612905</v>
      </c>
      <c r="T94" s="39">
        <f t="shared" si="62"/>
        <v>0.97677344547817779</v>
      </c>
      <c r="U94" s="3">
        <v>6826.1255161290328</v>
      </c>
      <c r="V94" s="3">
        <v>6988.4429677419357</v>
      </c>
      <c r="W94" s="63">
        <f t="shared" ref="W94:W99" si="186">+U94+O94+R94</f>
        <v>11423.109838709677</v>
      </c>
      <c r="X94" s="7">
        <f t="shared" si="182"/>
        <v>0.50990815808835099</v>
      </c>
      <c r="Y94" s="24">
        <f t="shared" ref="Y94:Y99" si="187">+V94+S94+P94</f>
        <v>22402.288838709679</v>
      </c>
      <c r="Z94" s="25">
        <f t="shared" si="157"/>
        <v>2.9152190407731324E-3</v>
      </c>
      <c r="AA94" s="3">
        <v>2.3548387096774195</v>
      </c>
      <c r="AB94" s="3">
        <v>807.77419354838707</v>
      </c>
      <c r="AC94" s="39">
        <f t="shared" si="67"/>
        <v>0.42579694615590674</v>
      </c>
      <c r="AD94" s="3">
        <v>102.54838709677419</v>
      </c>
      <c r="AE94" s="40">
        <v>240.83870967741936</v>
      </c>
      <c r="AF94" s="7">
        <f t="shared" si="68"/>
        <v>0.9545330792267902</v>
      </c>
      <c r="AG94" s="3">
        <v>339.29032258064518</v>
      </c>
      <c r="AH94" s="3">
        <v>355.45161290322579</v>
      </c>
      <c r="AI94" s="63">
        <f t="shared" ref="AI94:AI99" si="188">AG94+AD94+AA94</f>
        <v>444.19354838709683</v>
      </c>
      <c r="AJ94" s="7">
        <f t="shared" si="183"/>
        <v>0.31636263382805685</v>
      </c>
      <c r="AK94" s="26">
        <f t="shared" ref="AK94:AK99" si="189">+AH94+AE94+AB94</f>
        <v>1404.0645161290322</v>
      </c>
      <c r="AL94" s="93">
        <f t="shared" ref="AL94:AL99" si="190">+AI94+W94+K94</f>
        <v>13526.303387096774</v>
      </c>
      <c r="AM94" s="7">
        <f t="shared" si="180"/>
        <v>0.48154800891275773</v>
      </c>
      <c r="AN94" s="3">
        <f t="shared" ref="AN94:AN99" si="191">+AK94+Y94+M94</f>
        <v>28089.210497695858</v>
      </c>
      <c r="AO94" s="7">
        <f t="shared" ref="AO94:AO99" si="192">(+AA94+O94+C94)/(D94+P94+AB94)</f>
        <v>0.14024881109901069</v>
      </c>
      <c r="AP94" s="7">
        <f t="shared" ref="AP94:AP99" si="193">(+AD94+R94+F94)/(G94+S94+AE94)</f>
        <v>0.58175954961157061</v>
      </c>
      <c r="AQ94" s="94">
        <f t="shared" ref="AQ94:AQ99" si="194">(AG94+U94+I94)/(AH94+V94+J94)</f>
        <v>0.97551656265734799</v>
      </c>
    </row>
    <row r="95" spans="1:43" x14ac:dyDescent="0.15">
      <c r="A95" s="177">
        <v>40940</v>
      </c>
      <c r="B95" s="25">
        <f t="shared" si="54"/>
        <v>6.4095432350577908E-2</v>
      </c>
      <c r="C95" s="51">
        <v>148.14285714285714</v>
      </c>
      <c r="D95" s="3">
        <v>2311.2857142857142</v>
      </c>
      <c r="E95" s="39">
        <f t="shared" si="55"/>
        <v>0.56164952737093599</v>
      </c>
      <c r="F95" s="51">
        <v>772.42857142857144</v>
      </c>
      <c r="G95" s="3">
        <v>1375.2857142857142</v>
      </c>
      <c r="H95" s="39">
        <f t="shared" si="56"/>
        <v>0.97345666599638037</v>
      </c>
      <c r="I95" s="51">
        <v>691.57142857142856</v>
      </c>
      <c r="J95" s="3">
        <v>710.42857142857144</v>
      </c>
      <c r="K95" s="63">
        <f t="shared" si="184"/>
        <v>1612.1428571428571</v>
      </c>
      <c r="L95" s="7">
        <f t="shared" si="181"/>
        <v>0.36664608986646741</v>
      </c>
      <c r="M95" s="26">
        <f t="shared" si="185"/>
        <v>4397</v>
      </c>
      <c r="N95" s="45">
        <f t="shared" si="154"/>
        <v>8.5011896436478912E-2</v>
      </c>
      <c r="O95" s="4">
        <v>1073.4457586206897</v>
      </c>
      <c r="P95" s="181">
        <v>12627.006379310345</v>
      </c>
      <c r="Q95" s="39">
        <f t="shared" si="61"/>
        <v>0.57404926243470278</v>
      </c>
      <c r="R95" s="3">
        <v>3121.0351724137931</v>
      </c>
      <c r="S95" s="3">
        <v>5436.8768965517238</v>
      </c>
      <c r="T95" s="39">
        <f t="shared" si="62"/>
        <v>0.97279130631889754</v>
      </c>
      <c r="U95" s="3">
        <v>7560.1752068965516</v>
      </c>
      <c r="V95" s="3">
        <v>7771.6311379310346</v>
      </c>
      <c r="W95" s="63">
        <f t="shared" si="186"/>
        <v>11754.656137931033</v>
      </c>
      <c r="X95" s="7">
        <f t="shared" si="182"/>
        <v>0.45498053375919773</v>
      </c>
      <c r="Y95" s="24">
        <f t="shared" si="187"/>
        <v>25835.514413793106</v>
      </c>
      <c r="Z95" s="25">
        <f t="shared" si="157"/>
        <v>2.4444274692536857E-3</v>
      </c>
      <c r="AA95" s="3">
        <v>2.2068965517241379</v>
      </c>
      <c r="AB95" s="3">
        <v>902.82758620689651</v>
      </c>
      <c r="AC95" s="39">
        <f t="shared" si="67"/>
        <v>0.42183786638500131</v>
      </c>
      <c r="AD95" s="3">
        <v>110.17241379310344</v>
      </c>
      <c r="AE95" s="40">
        <v>261.17241379310343</v>
      </c>
      <c r="AF95" s="7">
        <f t="shared" si="68"/>
        <v>0.7135362997658079</v>
      </c>
      <c r="AG95" s="3">
        <v>262.65517241379308</v>
      </c>
      <c r="AH95" s="3">
        <v>368.10344827586209</v>
      </c>
      <c r="AI95" s="63">
        <f t="shared" si="188"/>
        <v>375.03448275862064</v>
      </c>
      <c r="AJ95" s="7">
        <f t="shared" si="183"/>
        <v>0.24478404717427019</v>
      </c>
      <c r="AK95" s="26">
        <f t="shared" si="189"/>
        <v>1532.1034482758621</v>
      </c>
      <c r="AL95" s="93">
        <f t="shared" si="190"/>
        <v>13741.833477832512</v>
      </c>
      <c r="AM95" s="7">
        <f t="shared" si="180"/>
        <v>0.43261447493256405</v>
      </c>
      <c r="AN95" s="3">
        <f t="shared" si="191"/>
        <v>31764.617862068968</v>
      </c>
      <c r="AO95" s="7">
        <f t="shared" si="192"/>
        <v>7.7254356829055501E-2</v>
      </c>
      <c r="AP95" s="7">
        <f t="shared" si="193"/>
        <v>0.56601817158301337</v>
      </c>
      <c r="AQ95" s="94">
        <f t="shared" si="194"/>
        <v>0.96206156386348463</v>
      </c>
    </row>
    <row r="96" spans="1:43" ht="14.25" customHeight="1" x14ac:dyDescent="0.15">
      <c r="A96" s="177">
        <v>40909</v>
      </c>
      <c r="B96" s="25">
        <f t="shared" si="54"/>
        <v>6.1924686192468617E-2</v>
      </c>
      <c r="C96" s="13">
        <v>148</v>
      </c>
      <c r="D96" s="3">
        <v>2390</v>
      </c>
      <c r="E96" s="39">
        <f t="shared" si="55"/>
        <v>0.57445652173913042</v>
      </c>
      <c r="F96" s="13">
        <v>755</v>
      </c>
      <c r="G96" s="40">
        <v>1314.2857142857142</v>
      </c>
      <c r="H96" s="39">
        <f t="shared" si="56"/>
        <v>0.96603432700993686</v>
      </c>
      <c r="I96" s="51">
        <v>763.85714285714289</v>
      </c>
      <c r="J96" s="3">
        <v>790.71428571428567</v>
      </c>
      <c r="K96" s="63">
        <f t="shared" si="184"/>
        <v>1666.8571428571429</v>
      </c>
      <c r="L96" s="7">
        <f t="shared" si="181"/>
        <v>0.37082472588590498</v>
      </c>
      <c r="M96" s="26">
        <f t="shared" si="185"/>
        <v>4495</v>
      </c>
      <c r="N96" s="45">
        <f t="shared" si="154"/>
        <v>6.7179559171118272E-2</v>
      </c>
      <c r="O96" s="4">
        <v>840.79919354838717</v>
      </c>
      <c r="P96" s="181">
        <v>12515.699774193548</v>
      </c>
      <c r="Q96" s="39">
        <f t="shared" si="61"/>
        <v>0.56089331510994311</v>
      </c>
      <c r="R96" s="3">
        <v>2860.3460967741935</v>
      </c>
      <c r="S96" s="3">
        <v>5099.6259354838712</v>
      </c>
      <c r="T96" s="39">
        <f t="shared" si="62"/>
        <v>0.97319480794963187</v>
      </c>
      <c r="U96" s="3">
        <v>7577.4493870967735</v>
      </c>
      <c r="V96" s="3">
        <v>7786.1588709677417</v>
      </c>
      <c r="W96" s="63">
        <f t="shared" si="186"/>
        <v>11278.594677419354</v>
      </c>
      <c r="X96" s="7">
        <f t="shared" si="182"/>
        <v>0.44401320881902934</v>
      </c>
      <c r="Y96" s="24">
        <f t="shared" si="187"/>
        <v>25401.484580645163</v>
      </c>
      <c r="Z96" s="25">
        <f t="shared" si="157"/>
        <v>2.5882596542085102E-3</v>
      </c>
      <c r="AA96" s="3">
        <v>2.4193548387096775</v>
      </c>
      <c r="AB96" s="3">
        <v>934.74193548387098</v>
      </c>
      <c r="AC96" s="39">
        <f t="shared" si="67"/>
        <v>0.4167373137943563</v>
      </c>
      <c r="AD96" s="3">
        <v>111</v>
      </c>
      <c r="AE96" s="40">
        <v>266.35483870967744</v>
      </c>
      <c r="AF96" s="7">
        <f t="shared" si="68"/>
        <v>0.73164850866226117</v>
      </c>
      <c r="AG96" s="3">
        <v>264.29032258064518</v>
      </c>
      <c r="AH96" s="3">
        <v>361.22580645161293</v>
      </c>
      <c r="AI96" s="63">
        <f t="shared" si="188"/>
        <v>377.70967741935488</v>
      </c>
      <c r="AJ96" s="7">
        <f t="shared" si="183"/>
        <v>0.24176164519326065</v>
      </c>
      <c r="AK96" s="26">
        <f t="shared" si="189"/>
        <v>1562.3225806451615</v>
      </c>
      <c r="AL96" s="93">
        <f t="shared" si="190"/>
        <v>13323.161497695852</v>
      </c>
      <c r="AM96" s="7">
        <f t="shared" si="180"/>
        <v>0.42351133752108178</v>
      </c>
      <c r="AN96" s="3">
        <f t="shared" si="191"/>
        <v>31458.807161290326</v>
      </c>
      <c r="AO96" s="7">
        <f t="shared" si="192"/>
        <v>6.2575183606245685E-2</v>
      </c>
      <c r="AP96" s="7">
        <f t="shared" si="193"/>
        <v>0.55781398888811129</v>
      </c>
      <c r="AQ96" s="94">
        <f t="shared" si="194"/>
        <v>0.96279945970943859</v>
      </c>
    </row>
    <row r="97" spans="1:43" x14ac:dyDescent="0.15">
      <c r="A97" s="177">
        <v>40878</v>
      </c>
      <c r="B97" s="25">
        <f t="shared" ref="B97:B106" si="195">C97/D97</f>
        <v>5.7377973171006652E-2</v>
      </c>
      <c r="C97" s="51">
        <v>145.42857142857142</v>
      </c>
      <c r="D97" s="3">
        <v>2534.5714285714284</v>
      </c>
      <c r="E97" s="39">
        <f t="shared" ref="E97:E106" si="196">F97/G97</f>
        <v>0.56065998058880617</v>
      </c>
      <c r="F97" s="51">
        <v>742.71428571428567</v>
      </c>
      <c r="G97" s="3">
        <v>1324.7142857142858</v>
      </c>
      <c r="H97" s="39">
        <f t="shared" ref="H97:H106" si="197">I97/J97</f>
        <v>0.96266770367489807</v>
      </c>
      <c r="I97" s="51">
        <v>707.28571428571433</v>
      </c>
      <c r="J97" s="3">
        <v>734.71428571428567</v>
      </c>
      <c r="K97" s="63">
        <f t="shared" si="184"/>
        <v>1595.4285714285716</v>
      </c>
      <c r="L97" s="7">
        <f t="shared" si="181"/>
        <v>0.34728527893525718</v>
      </c>
      <c r="M97" s="26">
        <f t="shared" si="185"/>
        <v>4594</v>
      </c>
      <c r="N97" s="25">
        <f t="shared" ref="N97:N106" si="198">O97/P97</f>
        <v>6.6653254207372725E-2</v>
      </c>
      <c r="O97" s="3">
        <v>882.91499999999996</v>
      </c>
      <c r="P97" s="174">
        <v>13246.39</v>
      </c>
      <c r="Q97" s="39">
        <f t="shared" ref="Q97:Q106" si="199">R97/S97</f>
        <v>0.56149625302807393</v>
      </c>
      <c r="R97" s="3">
        <v>2993.77</v>
      </c>
      <c r="S97" s="3">
        <v>5331.7719999999999</v>
      </c>
      <c r="T97" s="39">
        <f t="shared" ref="T97:T105" si="200">U97/V97</f>
        <v>0.9665027200353894</v>
      </c>
      <c r="U97" s="3">
        <v>6239.902</v>
      </c>
      <c r="V97" s="3">
        <v>6456.1660000000002</v>
      </c>
      <c r="W97" s="63">
        <f t="shared" si="186"/>
        <v>10116.587</v>
      </c>
      <c r="X97" s="7">
        <f t="shared" si="182"/>
        <v>0.40410859041233299</v>
      </c>
      <c r="Y97" s="24">
        <f t="shared" si="187"/>
        <v>25034.328000000001</v>
      </c>
      <c r="Z97" s="25">
        <f t="shared" ref="Z97:Z108" si="201">AA97/AB97</f>
        <v>3.1228730431997437E-3</v>
      </c>
      <c r="AA97" s="3">
        <v>2.5161290322580645</v>
      </c>
      <c r="AB97" s="3">
        <v>805.70967741935488</v>
      </c>
      <c r="AC97" s="39">
        <f t="shared" ref="AC97:AC108" si="202">AD97/AE97</f>
        <v>0.4213023991563406</v>
      </c>
      <c r="AD97" s="3">
        <v>103.09677419354838</v>
      </c>
      <c r="AE97" s="40">
        <v>244.70967741935485</v>
      </c>
      <c r="AF97" s="7">
        <f t="shared" ref="AF97:AF108" si="203">AG97/AH97</f>
        <v>0.71912882679268542</v>
      </c>
      <c r="AG97" s="3">
        <v>225.80645161290323</v>
      </c>
      <c r="AH97" s="3">
        <v>314</v>
      </c>
      <c r="AI97" s="63">
        <f t="shared" si="188"/>
        <v>331.41935483870964</v>
      </c>
      <c r="AJ97" s="7">
        <f t="shared" si="183"/>
        <v>0.24290138780528164</v>
      </c>
      <c r="AK97" s="26">
        <f t="shared" si="189"/>
        <v>1364.4193548387098</v>
      </c>
      <c r="AL97" s="93">
        <f t="shared" si="190"/>
        <v>12043.43492626728</v>
      </c>
      <c r="AM97" s="7">
        <f t="shared" si="180"/>
        <v>0.38858881364665504</v>
      </c>
      <c r="AN97" s="3">
        <f t="shared" si="191"/>
        <v>30992.74735483871</v>
      </c>
      <c r="AO97" s="7">
        <f t="shared" si="192"/>
        <v>6.2149884921061882E-2</v>
      </c>
      <c r="AP97" s="7">
        <f t="shared" si="193"/>
        <v>0.55636458961880975</v>
      </c>
      <c r="AQ97" s="94">
        <f t="shared" si="194"/>
        <v>0.9557772932837556</v>
      </c>
    </row>
    <row r="98" spans="1:43" x14ac:dyDescent="0.15">
      <c r="A98" s="177">
        <v>40848</v>
      </c>
      <c r="B98" s="25">
        <f t="shared" si="195"/>
        <v>5.7979637709903484E-2</v>
      </c>
      <c r="C98" s="51">
        <v>125.28571428571429</v>
      </c>
      <c r="D98" s="3">
        <v>2160.8571428571427</v>
      </c>
      <c r="E98" s="39">
        <f t="shared" si="196"/>
        <v>0.55004922874958984</v>
      </c>
      <c r="F98" s="51">
        <v>718.28571428571433</v>
      </c>
      <c r="G98" s="3">
        <v>1305.8571428571429</v>
      </c>
      <c r="H98" s="39">
        <f t="shared" si="197"/>
        <v>0.96877787689562889</v>
      </c>
      <c r="I98" s="51">
        <v>775.71428571428567</v>
      </c>
      <c r="J98" s="3">
        <v>800.71428571428567</v>
      </c>
      <c r="K98" s="63">
        <f t="shared" si="184"/>
        <v>1619.2857142857142</v>
      </c>
      <c r="L98" s="7">
        <f t="shared" si="181"/>
        <v>0.37945232994108202</v>
      </c>
      <c r="M98" s="26">
        <f t="shared" si="185"/>
        <v>4267.4285714285706</v>
      </c>
      <c r="N98" s="25">
        <f t="shared" si="198"/>
        <v>5.0000385167690689E-2</v>
      </c>
      <c r="O98" s="3">
        <v>551.71199999999999</v>
      </c>
      <c r="P98" s="174">
        <v>11034.154999999999</v>
      </c>
      <c r="Q98" s="39">
        <f t="shared" si="199"/>
        <v>0.55433017794348116</v>
      </c>
      <c r="R98" s="3">
        <v>2789.6959999999999</v>
      </c>
      <c r="S98" s="3">
        <v>5032.5529999999999</v>
      </c>
      <c r="T98" s="39">
        <f t="shared" si="200"/>
        <v>0.96407120079803521</v>
      </c>
      <c r="U98" s="3">
        <v>5935.9040000000005</v>
      </c>
      <c r="V98" s="3">
        <v>6157.1220000000003</v>
      </c>
      <c r="W98" s="63">
        <f t="shared" si="186"/>
        <v>9277.3119999999999</v>
      </c>
      <c r="X98" s="7">
        <f t="shared" si="182"/>
        <v>0.41744883757660134</v>
      </c>
      <c r="Y98" s="24">
        <f t="shared" si="187"/>
        <v>22223.829999999998</v>
      </c>
      <c r="Z98" s="25">
        <f t="shared" si="201"/>
        <v>4.4230348149770097E-3</v>
      </c>
      <c r="AA98" s="3">
        <v>3.3666666666666667</v>
      </c>
      <c r="AB98" s="3">
        <v>761.16666666666663</v>
      </c>
      <c r="AC98" s="39">
        <f t="shared" si="202"/>
        <v>0.42617857625287048</v>
      </c>
      <c r="AD98" s="3">
        <v>105.16666666666667</v>
      </c>
      <c r="AE98" s="40">
        <v>246.76666666666668</v>
      </c>
      <c r="AF98" s="7">
        <f t="shared" si="203"/>
        <v>0.75013296457823631</v>
      </c>
      <c r="AG98" s="3">
        <v>235.06666666666666</v>
      </c>
      <c r="AH98" s="3">
        <v>313.36666666666667</v>
      </c>
      <c r="AI98" s="63">
        <f t="shared" si="188"/>
        <v>343.6</v>
      </c>
      <c r="AJ98" s="7">
        <f t="shared" si="183"/>
        <v>0.26004692348444713</v>
      </c>
      <c r="AK98" s="26">
        <f t="shared" si="189"/>
        <v>1321.3</v>
      </c>
      <c r="AL98" s="93">
        <f t="shared" si="190"/>
        <v>11240.197714285714</v>
      </c>
      <c r="AM98" s="7">
        <f t="shared" si="180"/>
        <v>0.40414108919244141</v>
      </c>
      <c r="AN98" s="3">
        <f t="shared" si="191"/>
        <v>27812.55857142857</v>
      </c>
      <c r="AO98" s="7">
        <f t="shared" si="192"/>
        <v>4.8750047576640025E-2</v>
      </c>
      <c r="AP98" s="7">
        <f t="shared" si="193"/>
        <v>0.54867902342832564</v>
      </c>
      <c r="AQ98" s="94">
        <f t="shared" si="194"/>
        <v>0.95536942069623609</v>
      </c>
    </row>
    <row r="99" spans="1:43" x14ac:dyDescent="0.15">
      <c r="A99" s="177">
        <v>40817</v>
      </c>
      <c r="B99" s="25">
        <f t="shared" si="195"/>
        <v>5.678295851744377E-2</v>
      </c>
      <c r="C99" s="51">
        <v>123</v>
      </c>
      <c r="D99" s="174">
        <v>2166.1428571428573</v>
      </c>
      <c r="E99" s="39">
        <f t="shared" si="196"/>
        <v>0.53847011596788585</v>
      </c>
      <c r="F99" s="51">
        <v>689.85714285714289</v>
      </c>
      <c r="G99" s="174">
        <v>1281.1428571428571</v>
      </c>
      <c r="H99" s="39">
        <f t="shared" si="197"/>
        <v>0.96616283064239095</v>
      </c>
      <c r="I99" s="51">
        <v>803.57142857142856</v>
      </c>
      <c r="J99" s="174">
        <v>831.71428571428567</v>
      </c>
      <c r="K99" s="63">
        <f t="shared" si="184"/>
        <v>1616.4285714285716</v>
      </c>
      <c r="L99" s="7">
        <f t="shared" si="181"/>
        <v>0.37775848829833408</v>
      </c>
      <c r="M99" s="26">
        <f t="shared" si="185"/>
        <v>4279</v>
      </c>
      <c r="N99" s="25">
        <f t="shared" si="198"/>
        <v>4.6775948844110113E-2</v>
      </c>
      <c r="O99" s="3">
        <v>490.05404397899997</v>
      </c>
      <c r="P99" s="174">
        <v>10476.62433555757</v>
      </c>
      <c r="Q99" s="39">
        <f t="shared" si="199"/>
        <v>0.54407163402356806</v>
      </c>
      <c r="R99" s="3">
        <v>2993.9431765647146</v>
      </c>
      <c r="S99" s="174">
        <v>5502.8473997507153</v>
      </c>
      <c r="T99" s="39">
        <f t="shared" si="200"/>
        <v>0.9580758024460112</v>
      </c>
      <c r="U99" s="3">
        <v>7637.467912362571</v>
      </c>
      <c r="V99" s="174">
        <v>7971.6739456979994</v>
      </c>
      <c r="W99" s="63">
        <f t="shared" si="186"/>
        <v>11121.465132906285</v>
      </c>
      <c r="X99" s="7">
        <f t="shared" si="182"/>
        <v>0.46433958863712393</v>
      </c>
      <c r="Y99" s="24">
        <f t="shared" si="187"/>
        <v>23951.145681006285</v>
      </c>
      <c r="Z99" s="25">
        <f t="shared" si="201"/>
        <v>5.0000000000000001E-3</v>
      </c>
      <c r="AA99" s="3">
        <v>3.3548387096774195</v>
      </c>
      <c r="AB99" s="174">
        <v>670.9677419354839</v>
      </c>
      <c r="AC99" s="39">
        <f t="shared" si="202"/>
        <v>0.43858450608006561</v>
      </c>
      <c r="AD99" s="3">
        <v>103.54838709677419</v>
      </c>
      <c r="AE99" s="175">
        <v>236.09677419354838</v>
      </c>
      <c r="AF99" s="7">
        <f t="shared" si="203"/>
        <v>0.7651961228372135</v>
      </c>
      <c r="AG99" s="3">
        <v>272.48387096774195</v>
      </c>
      <c r="AH99" s="174">
        <v>356.09677419354841</v>
      </c>
      <c r="AI99" s="63">
        <f t="shared" si="188"/>
        <v>379.38709677419359</v>
      </c>
      <c r="AJ99" s="7">
        <f t="shared" si="183"/>
        <v>0.30034731089432559</v>
      </c>
      <c r="AK99" s="26">
        <f t="shared" si="189"/>
        <v>1263.1612903225807</v>
      </c>
      <c r="AL99" s="93">
        <f t="shared" si="190"/>
        <v>13117.280801109049</v>
      </c>
      <c r="AM99" s="7">
        <f t="shared" ref="AM99:AM106" si="204">AL99/AN99</f>
        <v>0.44475449341305351</v>
      </c>
      <c r="AN99" s="3">
        <f t="shared" si="191"/>
        <v>29493.306971328864</v>
      </c>
      <c r="AO99" s="7">
        <f t="shared" si="192"/>
        <v>4.6298719759327568E-2</v>
      </c>
      <c r="AP99" s="7">
        <f t="shared" si="193"/>
        <v>0.53950167423097151</v>
      </c>
      <c r="AQ99" s="94">
        <f t="shared" si="194"/>
        <v>0.95131147729035492</v>
      </c>
    </row>
    <row r="100" spans="1:43" x14ac:dyDescent="0.15">
      <c r="A100" s="177">
        <v>40797</v>
      </c>
      <c r="B100" s="25">
        <f t="shared" si="195"/>
        <v>5.6620150898043668E-2</v>
      </c>
      <c r="C100" s="51">
        <v>121.14285714285714</v>
      </c>
      <c r="D100" s="3">
        <v>2139.5714285714284</v>
      </c>
      <c r="E100" s="39">
        <f t="shared" si="196"/>
        <v>0.52730158730158727</v>
      </c>
      <c r="F100" s="51">
        <v>711.85714285714289</v>
      </c>
      <c r="G100" s="3">
        <v>1350</v>
      </c>
      <c r="H100" s="39">
        <f t="shared" si="197"/>
        <v>0.93242981606969988</v>
      </c>
      <c r="I100" s="51">
        <v>688</v>
      </c>
      <c r="J100" s="3">
        <v>737.85714285714289</v>
      </c>
      <c r="K100" s="63">
        <f t="shared" ref="K100:K105" si="205">SUM(C100+F100+I100)</f>
        <v>1521</v>
      </c>
      <c r="L100" s="7">
        <f t="shared" ref="L100:L105" si="206">K100/M100</f>
        <v>0.35979318734793186</v>
      </c>
      <c r="M100" s="26">
        <f t="shared" ref="M100:M105" si="207">SUM(J100+G100+D100)</f>
        <v>4227.4285714285716</v>
      </c>
      <c r="N100" s="25">
        <f t="shared" si="198"/>
        <v>4.373036680363631E-2</v>
      </c>
      <c r="O100" s="3">
        <v>441.01900000000001</v>
      </c>
      <c r="P100" s="174">
        <v>10084.959999999999</v>
      </c>
      <c r="Q100" s="39">
        <f t="shared" si="199"/>
        <v>0.53144785652023474</v>
      </c>
      <c r="R100" s="3">
        <v>2952.1109999999999</v>
      </c>
      <c r="S100" s="3">
        <v>5554.8459999999995</v>
      </c>
      <c r="T100" s="39">
        <f t="shared" si="200"/>
        <v>0.94859023770106565</v>
      </c>
      <c r="U100" s="3">
        <v>7169.1869999999999</v>
      </c>
      <c r="V100" s="3">
        <v>7557.7280000000001</v>
      </c>
      <c r="W100" s="63">
        <f t="shared" ref="W100:W107" si="208">+U100+O100+R100</f>
        <v>10562.316999999999</v>
      </c>
      <c r="X100" s="7">
        <f t="shared" ref="X100:X105" si="209">W100/Y100</f>
        <v>0.45532068193110525</v>
      </c>
      <c r="Y100" s="24">
        <f t="shared" ref="Y100:Y107" si="210">+V100+S100+P100</f>
        <v>23197.534</v>
      </c>
      <c r="Z100" s="25">
        <f t="shared" si="201"/>
        <v>3.9629510160822078E-3</v>
      </c>
      <c r="AA100" s="3">
        <v>2.8666666666666667</v>
      </c>
      <c r="AB100" s="3">
        <v>723.36666666666667</v>
      </c>
      <c r="AC100" s="39">
        <f t="shared" si="202"/>
        <v>0.41597154072620213</v>
      </c>
      <c r="AD100" s="3">
        <v>113.03333333333333</v>
      </c>
      <c r="AE100" s="40">
        <v>271.73333333333335</v>
      </c>
      <c r="AF100" s="7">
        <f t="shared" si="203"/>
        <v>0.62588097102584173</v>
      </c>
      <c r="AG100" s="3">
        <v>213.13333333333333</v>
      </c>
      <c r="AH100" s="3">
        <v>340.53333333333336</v>
      </c>
      <c r="AI100" s="63">
        <f t="shared" ref="AI100:AI109" si="211">AG100+AD100+AA100</f>
        <v>329.0333333333333</v>
      </c>
      <c r="AJ100" s="7">
        <f t="shared" ref="AJ100:AJ109" si="212">AI100/AK100</f>
        <v>0.24635004617035614</v>
      </c>
      <c r="AK100" s="26">
        <f t="shared" ref="AK100:AK109" si="213">+AH100+AE100+AB100</f>
        <v>1335.6333333333332</v>
      </c>
      <c r="AL100" s="93">
        <f t="shared" ref="AL100:AL107" si="214">+AI100+W100+K100</f>
        <v>12412.350333333332</v>
      </c>
      <c r="AM100" s="7">
        <f t="shared" si="204"/>
        <v>0.43157486633572201</v>
      </c>
      <c r="AN100" s="3">
        <f t="shared" ref="AN100:AN107" si="215">+AK100+Y100+M100</f>
        <v>28760.595904761904</v>
      </c>
      <c r="AO100" s="7">
        <f t="shared" ref="AO100:AO107" si="216">(+AA100+O100+C100)/(D100+P100+AB100)</f>
        <v>4.3638629193206803E-2</v>
      </c>
      <c r="AP100" s="7">
        <f t="shared" ref="AP100:AP105" si="217">(+AD100+R100+F100)/(G100+S100+AE100)</f>
        <v>0.52629550942846715</v>
      </c>
      <c r="AQ100" s="94">
        <f t="shared" ref="AQ100:AQ105" si="218">(AG100+U100+I100)/(AH100+V100+J100)</f>
        <v>0.9344846710455591</v>
      </c>
    </row>
    <row r="101" spans="1:43" x14ac:dyDescent="0.15">
      <c r="A101" s="177">
        <v>40756</v>
      </c>
      <c r="B101" s="25">
        <f t="shared" si="195"/>
        <v>5.5910543130990413E-2</v>
      </c>
      <c r="C101" s="51">
        <v>125</v>
      </c>
      <c r="D101" s="3">
        <v>2235.7142857142858</v>
      </c>
      <c r="E101" s="39">
        <f t="shared" si="196"/>
        <v>0.52197802197802201</v>
      </c>
      <c r="F101" s="51">
        <v>732.85714285714289</v>
      </c>
      <c r="G101" s="3">
        <v>1404</v>
      </c>
      <c r="H101" s="39">
        <f t="shared" si="197"/>
        <v>0.93213122965189066</v>
      </c>
      <c r="I101" s="51">
        <v>1063.4285714285713</v>
      </c>
      <c r="J101" s="3">
        <v>1140.8571428571429</v>
      </c>
      <c r="K101" s="63">
        <f t="shared" si="205"/>
        <v>1921.2857142857142</v>
      </c>
      <c r="L101" s="7">
        <f t="shared" si="206"/>
        <v>0.40189457327277067</v>
      </c>
      <c r="M101" s="26">
        <f t="shared" si="207"/>
        <v>4780.5714285714294</v>
      </c>
      <c r="N101" s="25">
        <f t="shared" si="198"/>
        <v>3.8858024748781812E-2</v>
      </c>
      <c r="O101" s="3">
        <v>417.709</v>
      </c>
      <c r="P101" s="174">
        <v>10749.62</v>
      </c>
      <c r="Q101" s="39">
        <f t="shared" si="199"/>
        <v>0.5243742257022288</v>
      </c>
      <c r="R101" s="3">
        <v>2923.498</v>
      </c>
      <c r="S101" s="3">
        <v>5575.2129999999997</v>
      </c>
      <c r="T101" s="39">
        <f t="shared" si="200"/>
        <v>0.95227358105282278</v>
      </c>
      <c r="U101" s="3">
        <v>6981.15</v>
      </c>
      <c r="V101" s="3">
        <v>7331.0339999999997</v>
      </c>
      <c r="W101" s="63">
        <f t="shared" si="208"/>
        <v>10322.357</v>
      </c>
      <c r="X101" s="7">
        <f t="shared" si="209"/>
        <v>0.43635504883418563</v>
      </c>
      <c r="Y101" s="24">
        <f t="shared" si="210"/>
        <v>23655.866999999998</v>
      </c>
      <c r="Z101" s="25">
        <f t="shared" si="201"/>
        <v>5.878510777269759E-3</v>
      </c>
      <c r="AA101" s="3">
        <v>4.064516129032258</v>
      </c>
      <c r="AB101" s="3">
        <v>691.41935483870964</v>
      </c>
      <c r="AC101" s="39">
        <f t="shared" si="202"/>
        <v>0.413823758195355</v>
      </c>
      <c r="AD101" s="3">
        <v>120.12903225806451</v>
      </c>
      <c r="AE101" s="40">
        <v>290.29032258064518</v>
      </c>
      <c r="AF101" s="7">
        <f t="shared" si="203"/>
        <v>0.66950610205586047</v>
      </c>
      <c r="AG101" s="3">
        <v>263.67741935483872</v>
      </c>
      <c r="AH101" s="3">
        <v>393.83870967741933</v>
      </c>
      <c r="AI101" s="63">
        <f t="shared" si="211"/>
        <v>387.87096774193549</v>
      </c>
      <c r="AJ101" s="7">
        <f t="shared" si="212"/>
        <v>0.28197551709582103</v>
      </c>
      <c r="AK101" s="26">
        <f t="shared" si="213"/>
        <v>1375.5483870967741</v>
      </c>
      <c r="AL101" s="93">
        <f t="shared" si="214"/>
        <v>12631.513682027649</v>
      </c>
      <c r="AM101" s="7">
        <f t="shared" si="204"/>
        <v>0.42370586570194446</v>
      </c>
      <c r="AN101" s="3">
        <f t="shared" si="215"/>
        <v>29811.986815668199</v>
      </c>
      <c r="AO101" s="7">
        <f t="shared" si="216"/>
        <v>3.9978311410669265E-2</v>
      </c>
      <c r="AP101" s="7">
        <f t="shared" si="217"/>
        <v>0.51949686347685309</v>
      </c>
      <c r="AQ101" s="94">
        <f t="shared" si="218"/>
        <v>0.93712036447943659</v>
      </c>
    </row>
    <row r="102" spans="1:43" x14ac:dyDescent="0.15">
      <c r="A102" s="177">
        <v>40725</v>
      </c>
      <c r="B102" s="25">
        <f t="shared" si="195"/>
        <v>5.7957510249720456E-2</v>
      </c>
      <c r="C102" s="51">
        <v>133.28571428571428</v>
      </c>
      <c r="D102" s="3">
        <v>2299.7142857142858</v>
      </c>
      <c r="E102" s="39">
        <f t="shared" si="196"/>
        <v>0.5398662808102983</v>
      </c>
      <c r="F102" s="51">
        <v>772.85714285714289</v>
      </c>
      <c r="G102" s="3">
        <v>1431.5714285714287</v>
      </c>
      <c r="H102" s="39">
        <f t="shared" si="197"/>
        <v>0.90646853146853157</v>
      </c>
      <c r="I102" s="51">
        <v>888.85714285714289</v>
      </c>
      <c r="J102" s="3">
        <v>980.57142857142856</v>
      </c>
      <c r="K102" s="63">
        <f t="shared" si="205"/>
        <v>1795</v>
      </c>
      <c r="L102" s="7">
        <f t="shared" si="206"/>
        <v>0.38095382469757144</v>
      </c>
      <c r="M102" s="26">
        <f t="shared" si="207"/>
        <v>4711.8571428571431</v>
      </c>
      <c r="N102" s="25">
        <f t="shared" si="198"/>
        <v>3.7751345326449658E-2</v>
      </c>
      <c r="O102" s="3">
        <v>456.02100000000002</v>
      </c>
      <c r="P102" s="174">
        <v>12079.596000000001</v>
      </c>
      <c r="Q102" s="39">
        <f t="shared" si="199"/>
        <v>0.53597551612829974</v>
      </c>
      <c r="R102" s="3">
        <v>3162.4560000000001</v>
      </c>
      <c r="S102" s="3">
        <v>5900.3739999999998</v>
      </c>
      <c r="T102" s="39">
        <f t="shared" si="200"/>
        <v>0.94595995533989052</v>
      </c>
      <c r="U102" s="3">
        <v>7064.393</v>
      </c>
      <c r="V102" s="3">
        <v>7467.9620000000004</v>
      </c>
      <c r="W102" s="63">
        <f t="shared" si="208"/>
        <v>10682.869999999999</v>
      </c>
      <c r="X102" s="7">
        <f t="shared" si="209"/>
        <v>0.4197932468540076</v>
      </c>
      <c r="Y102" s="24">
        <f t="shared" si="210"/>
        <v>25447.932000000001</v>
      </c>
      <c r="Z102" s="25">
        <f t="shared" si="201"/>
        <v>4.0731174249950325E-3</v>
      </c>
      <c r="AA102" s="3">
        <v>2.6451612903225805</v>
      </c>
      <c r="AB102" s="3">
        <v>649.41935483870964</v>
      </c>
      <c r="AC102" s="39">
        <f t="shared" si="202"/>
        <v>0.37368150244404419</v>
      </c>
      <c r="AD102" s="3">
        <v>93.709677419354833</v>
      </c>
      <c r="AE102" s="40">
        <v>250.7741935483871</v>
      </c>
      <c r="AF102" s="7">
        <f t="shared" si="203"/>
        <v>0.67463961558996255</v>
      </c>
      <c r="AG102" s="3">
        <v>203.80645161290323</v>
      </c>
      <c r="AH102" s="3">
        <v>302.09677419354841</v>
      </c>
      <c r="AI102" s="63">
        <f t="shared" si="211"/>
        <v>300.16129032258061</v>
      </c>
      <c r="AJ102" s="7">
        <f t="shared" si="212"/>
        <v>0.24965791097636231</v>
      </c>
      <c r="AK102" s="26">
        <f t="shared" si="213"/>
        <v>1202.2903225806451</v>
      </c>
      <c r="AL102" s="93">
        <f t="shared" si="214"/>
        <v>12778.03129032258</v>
      </c>
      <c r="AM102" s="7">
        <f t="shared" si="204"/>
        <v>0.40743571561970116</v>
      </c>
      <c r="AN102" s="3">
        <f t="shared" si="215"/>
        <v>31362.07946543779</v>
      </c>
      <c r="AO102" s="7">
        <f t="shared" si="216"/>
        <v>3.9388018131534863E-2</v>
      </c>
      <c r="AP102" s="7">
        <f t="shared" si="217"/>
        <v>0.53134271357248852</v>
      </c>
      <c r="AQ102" s="94">
        <f t="shared" si="218"/>
        <v>0.93216790167782693</v>
      </c>
    </row>
    <row r="103" spans="1:43" x14ac:dyDescent="0.15">
      <c r="A103" s="177">
        <v>40695</v>
      </c>
      <c r="B103" s="25">
        <f t="shared" si="195"/>
        <v>6.0055581915542604E-2</v>
      </c>
      <c r="C103" s="51">
        <v>126.57142857142857</v>
      </c>
      <c r="D103" s="3">
        <v>2107.5714285714284</v>
      </c>
      <c r="E103" s="39">
        <f t="shared" si="196"/>
        <v>0.55329037709939799</v>
      </c>
      <c r="F103" s="51">
        <v>748.28571428571433</v>
      </c>
      <c r="G103" s="3">
        <v>1352.4285714285713</v>
      </c>
      <c r="H103" s="39">
        <f t="shared" si="197"/>
        <v>0.93800322061191621</v>
      </c>
      <c r="I103" s="51">
        <v>832.14285714285711</v>
      </c>
      <c r="J103" s="3">
        <v>887.14285714285711</v>
      </c>
      <c r="K103" s="63">
        <f t="shared" si="205"/>
        <v>1707</v>
      </c>
      <c r="L103" s="7">
        <f t="shared" si="206"/>
        <v>0.39267170555372988</v>
      </c>
      <c r="M103" s="26">
        <f t="shared" si="207"/>
        <v>4347.1428571428569</v>
      </c>
      <c r="N103" s="25">
        <f>O103/P103</f>
        <v>4.1877253013298026E-2</v>
      </c>
      <c r="O103" s="3">
        <v>439.21600000000001</v>
      </c>
      <c r="P103" s="174">
        <v>10488.175999999999</v>
      </c>
      <c r="Q103" s="39">
        <f>R103/S103</f>
        <v>0.55057095248702836</v>
      </c>
      <c r="R103" s="3">
        <v>3190.8290000000002</v>
      </c>
      <c r="S103" s="3">
        <v>5795.491</v>
      </c>
      <c r="T103" s="39">
        <f>U103/V103</f>
        <v>0.9491360922881904</v>
      </c>
      <c r="U103" s="3">
        <v>6674.3810000000003</v>
      </c>
      <c r="V103" s="3">
        <v>7032.0590000000002</v>
      </c>
      <c r="W103" s="63">
        <f t="shared" si="208"/>
        <v>10304.426000000001</v>
      </c>
      <c r="X103" s="7">
        <f>W103/Y103</f>
        <v>0.44195175393637759</v>
      </c>
      <c r="Y103" s="24">
        <f t="shared" si="210"/>
        <v>23315.725999999999</v>
      </c>
      <c r="Z103" s="25">
        <f t="shared" si="201"/>
        <v>4.2963528737827005E-3</v>
      </c>
      <c r="AA103" s="3">
        <v>2.903225806451613</v>
      </c>
      <c r="AB103" s="3">
        <v>675.74193548387098</v>
      </c>
      <c r="AC103" s="39">
        <f t="shared" si="202"/>
        <v>0.38187399893219437</v>
      </c>
      <c r="AD103" s="3">
        <v>92.290322580645167</v>
      </c>
      <c r="AE103" s="40">
        <v>241.67741935483872</v>
      </c>
      <c r="AF103" s="7">
        <f t="shared" si="203"/>
        <v>0.69181633030920198</v>
      </c>
      <c r="AG103" s="3">
        <v>241.06451612903226</v>
      </c>
      <c r="AH103" s="3">
        <v>348.45161290322579</v>
      </c>
      <c r="AI103" s="63">
        <f t="shared" si="211"/>
        <v>336.25806451612902</v>
      </c>
      <c r="AJ103" s="7">
        <f t="shared" si="212"/>
        <v>0.2656337597472096</v>
      </c>
      <c r="AK103" s="26">
        <f t="shared" si="213"/>
        <v>1265.8709677419356</v>
      </c>
      <c r="AL103" s="93">
        <f t="shared" si="214"/>
        <v>12347.68406451613</v>
      </c>
      <c r="AM103" s="7">
        <f t="shared" si="204"/>
        <v>0.42683103858864013</v>
      </c>
      <c r="AN103" s="3">
        <f t="shared" si="215"/>
        <v>28928.739824884789</v>
      </c>
      <c r="AO103" s="7">
        <f t="shared" si="216"/>
        <v>4.2850552698187022E-2</v>
      </c>
      <c r="AP103" s="7">
        <f t="shared" si="217"/>
        <v>0.54555140718695261</v>
      </c>
      <c r="AQ103" s="94">
        <f t="shared" si="218"/>
        <v>0.93709640847207698</v>
      </c>
    </row>
    <row r="104" spans="1:43" x14ac:dyDescent="0.15">
      <c r="A104" s="177">
        <v>40664</v>
      </c>
      <c r="B104" s="25">
        <f t="shared" si="195"/>
        <v>5.5296057150707512E-2</v>
      </c>
      <c r="C104" s="51">
        <v>115</v>
      </c>
      <c r="D104" s="174">
        <v>2079.7142857142858</v>
      </c>
      <c r="E104" s="39">
        <f t="shared" si="196"/>
        <v>0.55605902172650157</v>
      </c>
      <c r="F104" s="51">
        <v>683.71428571428567</v>
      </c>
      <c r="G104" s="174">
        <v>1229.5714285714287</v>
      </c>
      <c r="H104" s="39">
        <f t="shared" si="197"/>
        <v>0.92558139534883721</v>
      </c>
      <c r="I104" s="51">
        <v>796</v>
      </c>
      <c r="J104" s="173">
        <v>860</v>
      </c>
      <c r="K104" s="63">
        <f t="shared" si="205"/>
        <v>1594.7142857142858</v>
      </c>
      <c r="L104" s="7">
        <f t="shared" si="206"/>
        <v>0.38249100565358923</v>
      </c>
      <c r="M104" s="26">
        <f t="shared" si="207"/>
        <v>4169.2857142857138</v>
      </c>
      <c r="N104" s="25">
        <f t="shared" si="198"/>
        <v>4.0747895003012548E-2</v>
      </c>
      <c r="O104" s="3">
        <v>441.22</v>
      </c>
      <c r="P104" s="174">
        <v>10828.044</v>
      </c>
      <c r="Q104" s="39">
        <f t="shared" si="199"/>
        <v>0.56000442198108136</v>
      </c>
      <c r="R104" s="3">
        <v>2978.598</v>
      </c>
      <c r="S104" s="3">
        <v>5318.8829999999998</v>
      </c>
      <c r="T104" s="39">
        <f t="shared" si="200"/>
        <v>0.96191421978916891</v>
      </c>
      <c r="U104" s="3">
        <v>6378.357</v>
      </c>
      <c r="V104" s="3">
        <v>6630.9</v>
      </c>
      <c r="W104" s="63">
        <f t="shared" si="208"/>
        <v>9798.1749999999993</v>
      </c>
      <c r="X104" s="7">
        <f t="shared" si="209"/>
        <v>0.43016285091637585</v>
      </c>
      <c r="Y104" s="24">
        <f t="shared" si="210"/>
        <v>22777.826999999997</v>
      </c>
      <c r="Z104" s="25">
        <f t="shared" si="201"/>
        <v>3.3925364198762716E-3</v>
      </c>
      <c r="AA104" s="51">
        <v>2.193548387096774</v>
      </c>
      <c r="AB104" s="173">
        <v>646.58064516129036</v>
      </c>
      <c r="AC104" s="39">
        <f t="shared" si="202"/>
        <v>0.37956975056090808</v>
      </c>
      <c r="AD104" s="51">
        <v>92.774193548387103</v>
      </c>
      <c r="AE104" s="176">
        <v>244.41935483870967</v>
      </c>
      <c r="AF104" s="7">
        <f t="shared" si="203"/>
        <v>0.70024398745207395</v>
      </c>
      <c r="AG104" s="51">
        <v>259.22580645161293</v>
      </c>
      <c r="AH104" s="173">
        <v>370.19354838709677</v>
      </c>
      <c r="AI104" s="63">
        <f t="shared" si="211"/>
        <v>354.19354838709677</v>
      </c>
      <c r="AJ104" s="7">
        <f t="shared" si="212"/>
        <v>0.28083996214543316</v>
      </c>
      <c r="AK104" s="26">
        <f t="shared" si="213"/>
        <v>1261.1935483870968</v>
      </c>
      <c r="AL104" s="93">
        <f t="shared" si="214"/>
        <v>11747.082834101382</v>
      </c>
      <c r="AM104" s="7">
        <f t="shared" si="204"/>
        <v>0.41644055919961198</v>
      </c>
      <c r="AN104" s="3">
        <f t="shared" si="215"/>
        <v>28208.30626267281</v>
      </c>
      <c r="AO104" s="7">
        <f t="shared" si="216"/>
        <v>4.1198139668403938E-2</v>
      </c>
      <c r="AP104" s="7">
        <f t="shared" si="217"/>
        <v>0.55279791719868465</v>
      </c>
      <c r="AQ104" s="94">
        <f t="shared" si="218"/>
        <v>0.94561688659420695</v>
      </c>
    </row>
    <row r="105" spans="1:43" x14ac:dyDescent="0.15">
      <c r="A105" s="177">
        <v>40634</v>
      </c>
      <c r="B105" s="25">
        <f t="shared" si="195"/>
        <v>5.419863447596255E-2</v>
      </c>
      <c r="C105" s="51">
        <v>110</v>
      </c>
      <c r="D105" s="174">
        <v>2029.5714285714287</v>
      </c>
      <c r="E105" s="39">
        <f t="shared" si="196"/>
        <v>0.54990990990990996</v>
      </c>
      <c r="F105" s="51">
        <v>654</v>
      </c>
      <c r="G105" s="175">
        <v>1189.2857142857142</v>
      </c>
      <c r="H105" s="7">
        <f t="shared" si="197"/>
        <v>0.93638101859899181</v>
      </c>
      <c r="I105" s="51">
        <v>769.57142857142856</v>
      </c>
      <c r="J105" s="173">
        <v>821.85714285714289</v>
      </c>
      <c r="K105" s="63">
        <f t="shared" si="205"/>
        <v>1533.5714285714284</v>
      </c>
      <c r="L105" s="7">
        <f t="shared" si="206"/>
        <v>0.3795297861057097</v>
      </c>
      <c r="M105" s="26">
        <f t="shared" si="207"/>
        <v>4040.7142857142858</v>
      </c>
      <c r="N105" s="25">
        <f t="shared" si="198"/>
        <v>4.0047612770436614E-2</v>
      </c>
      <c r="O105" s="3">
        <v>396.0675157384286</v>
      </c>
      <c r="P105" s="174">
        <v>9889.9157362710012</v>
      </c>
      <c r="Q105" s="39">
        <f t="shared" si="199"/>
        <v>0.56506480853083008</v>
      </c>
      <c r="R105" s="3">
        <v>2729.5123910905713</v>
      </c>
      <c r="S105" s="174">
        <v>4830.4413049315717</v>
      </c>
      <c r="T105" s="39">
        <f t="shared" si="200"/>
        <v>0.96512023611505227</v>
      </c>
      <c r="U105" s="3">
        <v>6793.7844707774266</v>
      </c>
      <c r="V105" s="174">
        <v>7039.3140839371408</v>
      </c>
      <c r="W105" s="63">
        <f t="shared" si="208"/>
        <v>9919.3643776064273</v>
      </c>
      <c r="X105" s="7">
        <f t="shared" si="209"/>
        <v>0.45586003210067988</v>
      </c>
      <c r="Y105" s="24">
        <f t="shared" si="210"/>
        <v>21759.671125139714</v>
      </c>
      <c r="Z105" s="25">
        <f t="shared" si="201"/>
        <v>2.9255558556125663E-3</v>
      </c>
      <c r="AA105" s="51">
        <v>2.096774193548387</v>
      </c>
      <c r="AB105" s="173">
        <v>716.70967741935488</v>
      </c>
      <c r="AC105" s="39">
        <f t="shared" si="202"/>
        <v>0.39021447721179625</v>
      </c>
      <c r="AD105" s="51">
        <v>93.903225806451616</v>
      </c>
      <c r="AE105" s="176">
        <v>240.64516129032259</v>
      </c>
      <c r="AF105" s="7">
        <f t="shared" si="203"/>
        <v>0.65578692493946733</v>
      </c>
      <c r="AG105" s="51">
        <v>218.41935483870967</v>
      </c>
      <c r="AH105" s="173">
        <v>333.06451612903226</v>
      </c>
      <c r="AI105" s="63">
        <f t="shared" si="211"/>
        <v>314.41935483870969</v>
      </c>
      <c r="AJ105" s="7">
        <f t="shared" si="212"/>
        <v>0.24365672574556907</v>
      </c>
      <c r="AK105" s="26">
        <f t="shared" si="213"/>
        <v>1290.4193548387098</v>
      </c>
      <c r="AL105" s="93">
        <f t="shared" si="214"/>
        <v>11767.355161016567</v>
      </c>
      <c r="AM105" s="7">
        <f t="shared" si="204"/>
        <v>0.43436713168146729</v>
      </c>
      <c r="AN105" s="3">
        <f t="shared" si="215"/>
        <v>27090.804765692708</v>
      </c>
      <c r="AO105" s="7">
        <f t="shared" si="216"/>
        <v>4.0214971029291072E-2</v>
      </c>
      <c r="AP105" s="7">
        <f t="shared" si="217"/>
        <v>0.55546467791872789</v>
      </c>
      <c r="AQ105" s="94">
        <f t="shared" si="218"/>
        <v>0.94966455668645366</v>
      </c>
    </row>
    <row r="106" spans="1:43" x14ac:dyDescent="0.15">
      <c r="A106" s="177">
        <v>40603</v>
      </c>
      <c r="B106" s="25">
        <f t="shared" si="195"/>
        <v>5.2330284363138573E-2</v>
      </c>
      <c r="C106" s="51">
        <v>120.14285714285714</v>
      </c>
      <c r="D106" s="174">
        <v>2295.8571428571427</v>
      </c>
      <c r="E106" s="39">
        <f t="shared" si="196"/>
        <v>0.54981936837198464</v>
      </c>
      <c r="F106" s="51">
        <v>674</v>
      </c>
      <c r="G106" s="175">
        <v>1225.8571428571429</v>
      </c>
      <c r="H106" s="7">
        <f t="shared" si="197"/>
        <v>0.96626134612091119</v>
      </c>
      <c r="I106" s="51">
        <v>806</v>
      </c>
      <c r="J106" s="173">
        <v>834.14285714285711</v>
      </c>
      <c r="K106" s="63">
        <f>SUM(C106+F106+I106)</f>
        <v>1600.1428571428571</v>
      </c>
      <c r="L106" s="7">
        <f>K106/M106</f>
        <v>0.36735430126922697</v>
      </c>
      <c r="M106" s="26">
        <f>SUM(J106+G106+D106)</f>
        <v>4355.8571428571431</v>
      </c>
      <c r="N106" s="25">
        <f t="shared" si="198"/>
        <v>3.8716547857817085E-2</v>
      </c>
      <c r="O106" s="3">
        <v>443.25667175542861</v>
      </c>
      <c r="P106" s="174">
        <v>11448.765354371146</v>
      </c>
      <c r="Q106" s="39">
        <f t="shared" si="199"/>
        <v>0.56021120134539304</v>
      </c>
      <c r="R106" s="3">
        <v>2971.6844494624293</v>
      </c>
      <c r="S106" s="175">
        <v>5304.5787772998574</v>
      </c>
      <c r="T106" s="7">
        <f>U106/V106</f>
        <v>0.96593027874973725</v>
      </c>
      <c r="U106" s="3">
        <v>6089.2900902951433</v>
      </c>
      <c r="V106" s="174">
        <v>6304.0679273217156</v>
      </c>
      <c r="W106" s="63">
        <f t="shared" si="208"/>
        <v>9504.2312115130007</v>
      </c>
      <c r="X106" s="7">
        <f>W106/Y106</f>
        <v>0.41219852371967369</v>
      </c>
      <c r="Y106" s="24">
        <f t="shared" si="210"/>
        <v>23057.412058992719</v>
      </c>
      <c r="Z106" s="25">
        <f t="shared" si="201"/>
        <v>2.8382581648522553E-3</v>
      </c>
      <c r="AA106" s="51">
        <v>2.3548387096774195</v>
      </c>
      <c r="AB106" s="173">
        <v>829.67741935483866</v>
      </c>
      <c r="AC106" s="39">
        <f t="shared" si="202"/>
        <v>0.39172625127681304</v>
      </c>
      <c r="AD106" s="51">
        <v>98.967741935483872</v>
      </c>
      <c r="AE106" s="176">
        <v>252.64516129032259</v>
      </c>
      <c r="AF106" s="7">
        <f t="shared" si="203"/>
        <v>0.64440346375881974</v>
      </c>
      <c r="AG106" s="51">
        <v>259.25806451612902</v>
      </c>
      <c r="AH106" s="173">
        <v>402.32258064516128</v>
      </c>
      <c r="AI106" s="63">
        <f t="shared" si="211"/>
        <v>360.58064516129036</v>
      </c>
      <c r="AJ106" s="7">
        <f t="shared" si="212"/>
        <v>0.24287328350425869</v>
      </c>
      <c r="AK106" s="26">
        <f t="shared" si="213"/>
        <v>1484.6451612903224</v>
      </c>
      <c r="AL106" s="93">
        <f t="shared" si="214"/>
        <v>11464.954713817147</v>
      </c>
      <c r="AM106" s="7">
        <f t="shared" si="204"/>
        <v>0.39673986744319883</v>
      </c>
      <c r="AN106" s="3">
        <f t="shared" si="215"/>
        <v>28897.914363140182</v>
      </c>
      <c r="AO106" s="7">
        <f t="shared" si="216"/>
        <v>3.8818630798466612E-2</v>
      </c>
      <c r="AP106" s="7">
        <f t="shared" ref="AP106:AP111" si="219">(+AD106+R106+F106)/(G106+S106+AE106)</f>
        <v>0.55205770746866956</v>
      </c>
      <c r="AQ106" s="94">
        <f t="shared" ref="AQ106:AQ111" si="220">(AG106+U106+I106)/(AH106+V106+J106)</f>
        <v>0.94881194849101447</v>
      </c>
    </row>
    <row r="107" spans="1:43" x14ac:dyDescent="0.15">
      <c r="A107" s="177">
        <v>40575</v>
      </c>
      <c r="B107" s="25">
        <f t="shared" ref="B107:B113" si="221">C107/D107</f>
        <v>5.1679737797026809E-2</v>
      </c>
      <c r="C107" s="51">
        <v>126.14285714285714</v>
      </c>
      <c r="D107" s="174">
        <v>2440.8571428571427</v>
      </c>
      <c r="E107" s="39">
        <f t="shared" ref="E107:E113" si="222">F107/G107</f>
        <v>0.53609442512382754</v>
      </c>
      <c r="F107" s="51">
        <v>726.71428571428567</v>
      </c>
      <c r="G107" s="175">
        <v>1355.5714285714287</v>
      </c>
      <c r="H107" s="7">
        <f t="shared" ref="H107:H113" si="223">I107/J107</f>
        <v>0.96439317953861581</v>
      </c>
      <c r="I107" s="51">
        <v>824.14285714285711</v>
      </c>
      <c r="J107" s="173">
        <v>854.57142857142856</v>
      </c>
      <c r="K107" s="63">
        <f>SUM(C107+F107+I107)</f>
        <v>1677</v>
      </c>
      <c r="L107" s="7">
        <f t="shared" ref="L107:L112" si="224">K107/M107</f>
        <v>0.36056761986669533</v>
      </c>
      <c r="M107" s="26">
        <f t="shared" ref="M107:M112" si="225">SUM(J107+G107+D107)</f>
        <v>4651</v>
      </c>
      <c r="N107" s="25">
        <f t="shared" ref="N107:N113" si="226">O107/P107</f>
        <v>3.9636226521359279E-2</v>
      </c>
      <c r="O107" s="3">
        <v>486.94415044257141</v>
      </c>
      <c r="P107" s="174">
        <v>12285.330698172431</v>
      </c>
      <c r="Q107" s="39">
        <f t="shared" ref="Q107:Q113" si="227">R107/S107</f>
        <v>0.56470267720382861</v>
      </c>
      <c r="R107" s="3">
        <v>3142.1160094522857</v>
      </c>
      <c r="S107" s="175">
        <v>5564.1953479142858</v>
      </c>
      <c r="T107" s="7">
        <f t="shared" ref="T107:T113" si="228">U107/V107</f>
        <v>0.95717774083014218</v>
      </c>
      <c r="U107" s="3">
        <v>6159.4920023307131</v>
      </c>
      <c r="V107" s="174">
        <v>6435.0556219461414</v>
      </c>
      <c r="W107" s="63">
        <f t="shared" si="208"/>
        <v>9788.5521622255692</v>
      </c>
      <c r="X107" s="7">
        <f t="shared" ref="X107:X112" si="229">W107/Y107</f>
        <v>0.40307682858341282</v>
      </c>
      <c r="Y107" s="24">
        <f t="shared" si="210"/>
        <v>24284.581668032857</v>
      </c>
      <c r="Z107" s="25">
        <f t="shared" si="201"/>
        <v>2.8023032629558541E-3</v>
      </c>
      <c r="AA107" s="51">
        <v>2.6071428571428572</v>
      </c>
      <c r="AB107" s="173">
        <v>930.35714285714289</v>
      </c>
      <c r="AC107" s="39">
        <f t="shared" si="202"/>
        <v>0.42661708062159642</v>
      </c>
      <c r="AD107" s="51">
        <v>114.71428571428571</v>
      </c>
      <c r="AE107" s="176">
        <v>268.89285714285717</v>
      </c>
      <c r="AF107" s="7">
        <f t="shared" si="203"/>
        <v>0.61985070500414707</v>
      </c>
      <c r="AG107" s="51">
        <v>240.21428571428572</v>
      </c>
      <c r="AH107" s="173">
        <v>387.53571428571428</v>
      </c>
      <c r="AI107" s="63">
        <f t="shared" si="211"/>
        <v>357.53571428571428</v>
      </c>
      <c r="AJ107" s="7">
        <f t="shared" si="212"/>
        <v>0.22532072923700203</v>
      </c>
      <c r="AK107" s="26">
        <f t="shared" si="213"/>
        <v>1586.7857142857142</v>
      </c>
      <c r="AL107" s="93">
        <f t="shared" si="214"/>
        <v>11823.087876511283</v>
      </c>
      <c r="AM107" s="7">
        <f t="shared" ref="AM107:AM112" si="230">AL107/AN107</f>
        <v>0.38735815372435128</v>
      </c>
      <c r="AN107" s="3">
        <f t="shared" si="215"/>
        <v>30522.367382318571</v>
      </c>
      <c r="AO107" s="7">
        <f t="shared" si="216"/>
        <v>3.9325033145960794E-2</v>
      </c>
      <c r="AP107" s="7">
        <f t="shared" si="219"/>
        <v>0.55414288391758371</v>
      </c>
      <c r="AQ107" s="94">
        <f t="shared" si="220"/>
        <v>0.94095297527184252</v>
      </c>
    </row>
    <row r="108" spans="1:43" s="15" customFormat="1" x14ac:dyDescent="0.15">
      <c r="A108" s="147">
        <v>40544</v>
      </c>
      <c r="B108" s="25">
        <f t="shared" si="221"/>
        <v>5.1928701506539367E-2</v>
      </c>
      <c r="C108" s="51">
        <v>134.42857142857142</v>
      </c>
      <c r="D108" s="3">
        <v>2588.7142857142858</v>
      </c>
      <c r="E108" s="39">
        <f t="shared" si="222"/>
        <v>0.53258472027270909</v>
      </c>
      <c r="F108" s="51">
        <v>758.85714285714289</v>
      </c>
      <c r="G108" s="40">
        <v>1424.8571428571429</v>
      </c>
      <c r="H108" s="7">
        <f t="shared" si="223"/>
        <v>0.95767032287965403</v>
      </c>
      <c r="I108" s="51">
        <v>885.57142857142856</v>
      </c>
      <c r="J108" s="26">
        <v>924.71428571428567</v>
      </c>
      <c r="K108" s="63">
        <f t="shared" ref="K108:K113" si="231">SUM(C108+F108+I108)</f>
        <v>1778.8571428571429</v>
      </c>
      <c r="L108" s="7">
        <f t="shared" si="224"/>
        <v>0.36021754223559366</v>
      </c>
      <c r="M108" s="26">
        <f t="shared" si="225"/>
        <v>4938.2857142857138</v>
      </c>
      <c r="N108" s="25">
        <f t="shared" si="226"/>
        <v>3.6083667509186138E-2</v>
      </c>
      <c r="O108" s="11">
        <v>494.0055656020001</v>
      </c>
      <c r="P108" s="3">
        <v>13690.558629502855</v>
      </c>
      <c r="Q108" s="39">
        <f t="shared" si="227"/>
        <v>0.55159688429793052</v>
      </c>
      <c r="R108" s="3">
        <v>2851.4461888065712</v>
      </c>
      <c r="S108" s="40">
        <v>5169.4385337869999</v>
      </c>
      <c r="T108" s="7">
        <f t="shared" si="228"/>
        <v>0.96684807600779687</v>
      </c>
      <c r="U108" s="3">
        <v>6559.305714404285</v>
      </c>
      <c r="V108" s="26">
        <v>6784.2155113844274</v>
      </c>
      <c r="W108" s="63">
        <f t="shared" ref="W108:W113" si="232">+U108+O108+R108</f>
        <v>9904.757468812857</v>
      </c>
      <c r="X108" s="7">
        <f t="shared" si="229"/>
        <v>0.38623753415501033</v>
      </c>
      <c r="Y108" s="24">
        <f t="shared" ref="Y108:Y113" si="233">+V108+S108+P108</f>
        <v>25644.212674674283</v>
      </c>
      <c r="Z108" s="25">
        <f t="shared" si="201"/>
        <v>3.1717098067808969E-3</v>
      </c>
      <c r="AA108" s="51">
        <v>2.806451612903226</v>
      </c>
      <c r="AB108" s="51">
        <v>884.83870967741939</v>
      </c>
      <c r="AC108" s="39">
        <f t="shared" si="202"/>
        <v>0.39733671528218134</v>
      </c>
      <c r="AD108" s="51">
        <v>101.06451612903226</v>
      </c>
      <c r="AE108" s="137">
        <v>254.35483870967741</v>
      </c>
      <c r="AF108" s="7">
        <f t="shared" si="203"/>
        <v>0.62041366906474826</v>
      </c>
      <c r="AG108" s="51">
        <v>222.54838709677421</v>
      </c>
      <c r="AH108" s="104">
        <v>358.70967741935482</v>
      </c>
      <c r="AI108" s="63">
        <f t="shared" si="211"/>
        <v>326.41935483870969</v>
      </c>
      <c r="AJ108" s="7">
        <f t="shared" si="212"/>
        <v>0.21791751911273824</v>
      </c>
      <c r="AK108" s="26">
        <f t="shared" si="213"/>
        <v>1497.9032258064517</v>
      </c>
      <c r="AL108" s="93">
        <f t="shared" ref="AL108:AL113" si="234">+AI108+W108+K108</f>
        <v>12010.03396650871</v>
      </c>
      <c r="AM108" s="7">
        <f t="shared" si="230"/>
        <v>0.37437293057392873</v>
      </c>
      <c r="AN108" s="3">
        <f t="shared" ref="AN108:AN113" si="235">+AK108+Y108+M108</f>
        <v>32080.401614766448</v>
      </c>
      <c r="AO108" s="7">
        <f t="shared" ref="AO108:AO113" si="236">(+AA108+O108+C108)/(D108+P108+AB108)</f>
        <v>3.6776770184128449E-2</v>
      </c>
      <c r="AP108" s="7">
        <f t="shared" si="219"/>
        <v>0.54191228468620534</v>
      </c>
      <c r="AQ108" s="94">
        <f t="shared" si="220"/>
        <v>0.95039268354644879</v>
      </c>
    </row>
    <row r="109" spans="1:43" s="15" customFormat="1" x14ac:dyDescent="0.15">
      <c r="A109" s="147">
        <v>40513</v>
      </c>
      <c r="B109" s="25">
        <f t="shared" si="221"/>
        <v>4.8620088808948345E-2</v>
      </c>
      <c r="C109" s="51">
        <v>123.57142857142857</v>
      </c>
      <c r="D109" s="3">
        <v>2541.5714285714284</v>
      </c>
      <c r="E109" s="39">
        <f t="shared" si="222"/>
        <v>0.54149148041602124</v>
      </c>
      <c r="F109" s="51">
        <v>699.14285714285711</v>
      </c>
      <c r="G109" s="40">
        <v>1291.1428571428571</v>
      </c>
      <c r="H109" s="7">
        <f t="shared" si="223"/>
        <v>0.96809854706253939</v>
      </c>
      <c r="I109" s="51">
        <v>875.71428571428567</v>
      </c>
      <c r="J109" s="26">
        <v>904.57142857142856</v>
      </c>
      <c r="K109" s="63">
        <f t="shared" si="231"/>
        <v>1698.4285714285713</v>
      </c>
      <c r="L109" s="7">
        <f t="shared" si="224"/>
        <v>0.35852356684056574</v>
      </c>
      <c r="M109" s="26">
        <f t="shared" si="225"/>
        <v>4737.2857142857138</v>
      </c>
      <c r="N109" s="25">
        <f t="shared" si="226"/>
        <v>3.7825928049017736E-2</v>
      </c>
      <c r="O109" s="11">
        <v>509.81400000000002</v>
      </c>
      <c r="P109" s="3">
        <v>13477.897999999999</v>
      </c>
      <c r="Q109" s="39">
        <f t="shared" si="227"/>
        <v>0.55428335672676021</v>
      </c>
      <c r="R109" s="3">
        <v>3100.752</v>
      </c>
      <c r="S109" s="40">
        <v>5594.1639999999998</v>
      </c>
      <c r="T109" s="7">
        <f t="shared" si="228"/>
        <v>0.96899919738458018</v>
      </c>
      <c r="U109" s="3">
        <v>6112.57</v>
      </c>
      <c r="V109" s="26">
        <v>6308.1270000000004</v>
      </c>
      <c r="W109" s="63">
        <f t="shared" si="232"/>
        <v>9723.1360000000004</v>
      </c>
      <c r="X109" s="7">
        <f t="shared" si="229"/>
        <v>0.38309943239587385</v>
      </c>
      <c r="Y109" s="24">
        <f t="shared" si="233"/>
        <v>25380.188999999998</v>
      </c>
      <c r="Z109" s="25">
        <f>AA109/AB109</f>
        <v>3.2413629535931691E-3</v>
      </c>
      <c r="AA109" s="51">
        <v>2.6451612903225805</v>
      </c>
      <c r="AB109" s="51">
        <v>816.06451612903231</v>
      </c>
      <c r="AC109" s="39">
        <f>AD109/AE109</f>
        <v>0.42740998838559818</v>
      </c>
      <c r="AD109" s="51">
        <v>106.83870967741936</v>
      </c>
      <c r="AE109" s="137">
        <v>249.96774193548387</v>
      </c>
      <c r="AF109" s="7">
        <f>AG109/AH109</f>
        <v>0.6108649585821615</v>
      </c>
      <c r="AG109" s="51">
        <v>204.58064516129033</v>
      </c>
      <c r="AH109" s="104">
        <v>334.90322580645159</v>
      </c>
      <c r="AI109" s="63">
        <f t="shared" si="211"/>
        <v>314.06451612903226</v>
      </c>
      <c r="AJ109" s="7">
        <f t="shared" si="212"/>
        <v>0.22418199820396509</v>
      </c>
      <c r="AK109" s="26">
        <f t="shared" si="213"/>
        <v>1400.9354838709678</v>
      </c>
      <c r="AL109" s="93">
        <f t="shared" si="234"/>
        <v>11735.629087557603</v>
      </c>
      <c r="AM109" s="7">
        <f t="shared" si="230"/>
        <v>0.37234203799542998</v>
      </c>
      <c r="AN109" s="3">
        <f t="shared" si="235"/>
        <v>31518.410198156682</v>
      </c>
      <c r="AO109" s="7">
        <f t="shared" si="236"/>
        <v>3.7779056604377123E-2</v>
      </c>
      <c r="AP109" s="7">
        <f t="shared" si="219"/>
        <v>0.54752392673505623</v>
      </c>
      <c r="AQ109" s="94">
        <f t="shared" si="220"/>
        <v>0.95300007343438098</v>
      </c>
    </row>
    <row r="110" spans="1:43" s="15" customFormat="1" x14ac:dyDescent="0.15">
      <c r="A110" s="147">
        <v>40483</v>
      </c>
      <c r="B110" s="25">
        <f t="shared" si="221"/>
        <v>5.0263729444616809E-2</v>
      </c>
      <c r="C110" s="51">
        <v>115.71428571428571</v>
      </c>
      <c r="D110" s="3">
        <v>2302.1428571428573</v>
      </c>
      <c r="E110" s="39">
        <f t="shared" si="222"/>
        <v>0.52682450043440487</v>
      </c>
      <c r="F110" s="51">
        <v>693</v>
      </c>
      <c r="G110" s="40">
        <v>1315.4285714285713</v>
      </c>
      <c r="H110" s="7">
        <f t="shared" si="223"/>
        <v>0.96645021645021645</v>
      </c>
      <c r="I110" s="51">
        <v>893</v>
      </c>
      <c r="J110" s="26">
        <v>924</v>
      </c>
      <c r="K110" s="63">
        <f t="shared" si="231"/>
        <v>1701.7142857142858</v>
      </c>
      <c r="L110" s="7">
        <f t="shared" si="224"/>
        <v>0.37469724135761689</v>
      </c>
      <c r="M110" s="26">
        <f t="shared" si="225"/>
        <v>4541.5714285714294</v>
      </c>
      <c r="N110" s="25">
        <f t="shared" si="226"/>
        <v>3.8632131948727194E-2</v>
      </c>
      <c r="O110" s="11">
        <v>465.23899999999998</v>
      </c>
      <c r="P110" s="3">
        <v>12042.799000000001</v>
      </c>
      <c r="Q110" s="39">
        <f t="shared" si="227"/>
        <v>0.55199333641913795</v>
      </c>
      <c r="R110" s="3">
        <v>3015.942</v>
      </c>
      <c r="S110" s="40">
        <v>5463.7290000000003</v>
      </c>
      <c r="T110" s="7">
        <f t="shared" si="228"/>
        <v>0.9725778726480272</v>
      </c>
      <c r="U110" s="3">
        <v>5976.4920000000002</v>
      </c>
      <c r="V110" s="26">
        <v>6145.0010000000002</v>
      </c>
      <c r="W110" s="63">
        <f t="shared" si="232"/>
        <v>9457.6729999999989</v>
      </c>
      <c r="X110" s="7">
        <f t="shared" si="229"/>
        <v>0.39987575433283817</v>
      </c>
      <c r="Y110" s="24">
        <f t="shared" si="233"/>
        <v>23651.529000000002</v>
      </c>
      <c r="Z110" s="25">
        <f>AA110/AB110</f>
        <v>4.5647934763339828E-3</v>
      </c>
      <c r="AA110" s="51">
        <v>3.4333333333333331</v>
      </c>
      <c r="AB110" s="51">
        <v>752.13333333333333</v>
      </c>
      <c r="AC110" s="39">
        <f>AD110/AE110</f>
        <v>0.42366554684583801</v>
      </c>
      <c r="AD110" s="51">
        <v>113.5</v>
      </c>
      <c r="AE110" s="137">
        <v>267.89999999999998</v>
      </c>
      <c r="AF110" s="7">
        <f>AG110/AH110</f>
        <v>0.66864295125164697</v>
      </c>
      <c r="AG110" s="51">
        <v>236.83333333333334</v>
      </c>
      <c r="AH110" s="104">
        <v>354.2</v>
      </c>
      <c r="AI110" s="63">
        <f>AG110+AD110+AA110</f>
        <v>353.76666666666671</v>
      </c>
      <c r="AJ110" s="7">
        <f>AI110/AK110</f>
        <v>0.25742838431125242</v>
      </c>
      <c r="AK110" s="26">
        <f>+AH110+AE110+AB110</f>
        <v>1374.2333333333331</v>
      </c>
      <c r="AL110" s="93">
        <f t="shared" si="234"/>
        <v>11513.153952380952</v>
      </c>
      <c r="AM110" s="7">
        <f t="shared" si="230"/>
        <v>0.3893876277479833</v>
      </c>
      <c r="AN110" s="3">
        <f t="shared" si="235"/>
        <v>29567.333761904767</v>
      </c>
      <c r="AO110" s="7">
        <f t="shared" si="236"/>
        <v>3.8708598299640996E-2</v>
      </c>
      <c r="AP110" s="7">
        <f t="shared" si="219"/>
        <v>0.54241674078236868</v>
      </c>
      <c r="AQ110" s="94">
        <f t="shared" si="220"/>
        <v>0.95731279987344187</v>
      </c>
    </row>
    <row r="111" spans="1:43" s="15" customFormat="1" x14ac:dyDescent="0.15">
      <c r="A111" s="147">
        <v>40452</v>
      </c>
      <c r="B111" s="25">
        <f t="shared" si="221"/>
        <v>5.1619299405155319E-2</v>
      </c>
      <c r="C111" s="51">
        <f>781/7</f>
        <v>111.57142857142857</v>
      </c>
      <c r="D111" s="3">
        <f>15130/7</f>
        <v>2161.4285714285716</v>
      </c>
      <c r="E111" s="39">
        <f t="shared" si="222"/>
        <v>0.53058877644894209</v>
      </c>
      <c r="F111" s="51">
        <f>4614/7</f>
        <v>659.14285714285711</v>
      </c>
      <c r="G111" s="40">
        <f>8696/7</f>
        <v>1242.2857142857142</v>
      </c>
      <c r="H111" s="7">
        <f t="shared" si="223"/>
        <v>0.96590088137552377</v>
      </c>
      <c r="I111" s="51">
        <f>6685/7</f>
        <v>955</v>
      </c>
      <c r="J111" s="26">
        <f>6921/7</f>
        <v>988.71428571428567</v>
      </c>
      <c r="K111" s="63">
        <f t="shared" si="231"/>
        <v>1725.7142857142858</v>
      </c>
      <c r="L111" s="7">
        <f t="shared" si="224"/>
        <v>0.3928838585878297</v>
      </c>
      <c r="M111" s="26">
        <f t="shared" si="225"/>
        <v>4392.4285714285716</v>
      </c>
      <c r="N111" s="25">
        <f t="shared" si="226"/>
        <v>3.8771897312215586E-2</v>
      </c>
      <c r="O111" s="11">
        <v>412.57299999999998</v>
      </c>
      <c r="P111" s="3">
        <v>10641.031999999999</v>
      </c>
      <c r="Q111" s="39">
        <f t="shared" si="227"/>
        <v>0.54531228076337646</v>
      </c>
      <c r="R111" s="3">
        <v>2918.7179999999998</v>
      </c>
      <c r="S111" s="40">
        <v>5352.3789999999999</v>
      </c>
      <c r="T111" s="7">
        <f t="shared" si="228"/>
        <v>0.96444649678067829</v>
      </c>
      <c r="U111" s="3">
        <v>6585.232</v>
      </c>
      <c r="V111" s="26">
        <v>6827.991</v>
      </c>
      <c r="W111" s="63">
        <f t="shared" si="232"/>
        <v>9916.523000000001</v>
      </c>
      <c r="X111" s="7">
        <f t="shared" si="229"/>
        <v>0.43452733534951105</v>
      </c>
      <c r="Y111" s="24">
        <f t="shared" si="233"/>
        <v>22821.401999999998</v>
      </c>
      <c r="Z111" s="25">
        <f>AA111/AB111</f>
        <v>4.9230475097982989E-3</v>
      </c>
      <c r="AA111" s="51">
        <f>103/31</f>
        <v>3.3225806451612905</v>
      </c>
      <c r="AB111" s="51">
        <f>20922/31</f>
        <v>674.90322580645159</v>
      </c>
      <c r="AC111" s="39">
        <f>AD111/AE111</f>
        <v>0.4032834635244274</v>
      </c>
      <c r="AD111" s="51">
        <f>3046/31</f>
        <v>98.258064516129039</v>
      </c>
      <c r="AE111" s="137">
        <f>7553/31</f>
        <v>243.64516129032259</v>
      </c>
      <c r="AF111" s="7">
        <f>AG111/AH111</f>
        <v>0.65735567970204845</v>
      </c>
      <c r="AG111" s="51">
        <f>7060/31</f>
        <v>227.74193548387098</v>
      </c>
      <c r="AH111" s="104">
        <f>10740/31</f>
        <v>346.45161290322579</v>
      </c>
      <c r="AI111" s="63">
        <f>AG111+AD111+AA111</f>
        <v>329.32258064516128</v>
      </c>
      <c r="AJ111" s="7">
        <f>AI111/AK111</f>
        <v>0.2603340558459773</v>
      </c>
      <c r="AK111" s="26">
        <f>+AH111+AE111+AB111</f>
        <v>1265</v>
      </c>
      <c r="AL111" s="93">
        <f t="shared" si="234"/>
        <v>11971.559866359448</v>
      </c>
      <c r="AM111" s="7">
        <f t="shared" si="230"/>
        <v>0.42036697526372213</v>
      </c>
      <c r="AN111" s="3">
        <f t="shared" si="235"/>
        <v>28478.830571428571</v>
      </c>
      <c r="AO111" s="7">
        <f t="shared" si="236"/>
        <v>3.9137253928309294E-2</v>
      </c>
      <c r="AP111" s="7">
        <f t="shared" si="219"/>
        <v>0.53757711898794613</v>
      </c>
      <c r="AQ111" s="94">
        <f t="shared" si="220"/>
        <v>0.95158944412785129</v>
      </c>
    </row>
    <row r="112" spans="1:43" s="15" customFormat="1" x14ac:dyDescent="0.15">
      <c r="A112" s="147">
        <v>40422</v>
      </c>
      <c r="B112" s="25">
        <f t="shared" si="221"/>
        <v>5.1925515584328903E-2</v>
      </c>
      <c r="C112" s="51">
        <f>778/7</f>
        <v>111.14285714285714</v>
      </c>
      <c r="D112" s="3">
        <f>14983/7</f>
        <v>2140.4285714285716</v>
      </c>
      <c r="E112" s="39">
        <f t="shared" si="222"/>
        <v>0.52057902128119271</v>
      </c>
      <c r="F112" s="51">
        <f>4819/7</f>
        <v>688.42857142857144</v>
      </c>
      <c r="G112" s="40">
        <f>9257/7</f>
        <v>1322.4285714285713</v>
      </c>
      <c r="H112" s="7">
        <f t="shared" si="223"/>
        <v>0.96787202580992071</v>
      </c>
      <c r="I112" s="51">
        <f>7200/7</f>
        <v>1028.5714285714287</v>
      </c>
      <c r="J112" s="26">
        <f>7439/7</f>
        <v>1062.7142857142858</v>
      </c>
      <c r="K112" s="63">
        <f t="shared" si="231"/>
        <v>1828.1428571428573</v>
      </c>
      <c r="L112" s="7">
        <f t="shared" si="224"/>
        <v>0.40395845828466814</v>
      </c>
      <c r="M112" s="26">
        <f t="shared" si="225"/>
        <v>4525.5714285714284</v>
      </c>
      <c r="N112" s="25">
        <f t="shared" si="226"/>
        <v>3.7891749212277934E-2</v>
      </c>
      <c r="O112" s="11">
        <f>397655/1000</f>
        <v>397.65499999999997</v>
      </c>
      <c r="P112" s="3">
        <f>10494501/1000</f>
        <v>10494.501</v>
      </c>
      <c r="Q112" s="39">
        <f t="shared" si="227"/>
        <v>0.52773527221212391</v>
      </c>
      <c r="R112" s="3">
        <f>3039771/1000</f>
        <v>3039.7710000000002</v>
      </c>
      <c r="S112" s="40">
        <f>5760030/1000</f>
        <v>5760.03</v>
      </c>
      <c r="T112" s="7">
        <f t="shared" si="228"/>
        <v>0.96925795647153545</v>
      </c>
      <c r="U112" s="3">
        <f>7032612/1000</f>
        <v>7032.6120000000001</v>
      </c>
      <c r="V112" s="26">
        <f>7255666/1000</f>
        <v>7255.6660000000002</v>
      </c>
      <c r="W112" s="63">
        <f t="shared" si="232"/>
        <v>10470.038</v>
      </c>
      <c r="X112" s="7">
        <f t="shared" si="229"/>
        <v>0.44534029212941095</v>
      </c>
      <c r="Y112" s="24">
        <f t="shared" si="233"/>
        <v>23510.197</v>
      </c>
      <c r="Z112" s="25">
        <f>AA112/AB112</f>
        <v>2.4398411711237626E-3</v>
      </c>
      <c r="AA112" s="51">
        <v>1.6451612903225807</v>
      </c>
      <c r="AB112" s="51">
        <f>20903/31</f>
        <v>674.29032258064512</v>
      </c>
      <c r="AC112" s="39">
        <f>AD112/AE112</f>
        <v>0.37733617222616517</v>
      </c>
      <c r="AD112" s="51">
        <v>102.90322580645162</v>
      </c>
      <c r="AE112" s="137">
        <f>8454/31</f>
        <v>272.70967741935482</v>
      </c>
      <c r="AF112" s="7">
        <f>AG112/AH112</f>
        <v>0.59965958971602618</v>
      </c>
      <c r="AG112" s="51">
        <v>215.93548387096774</v>
      </c>
      <c r="AH112" s="104">
        <v>360.09677419354841</v>
      </c>
      <c r="AI112" s="63">
        <f>AG112+AD112+AA112</f>
        <v>320.48387096774195</v>
      </c>
      <c r="AJ112" s="7">
        <f>AI112/AK112</f>
        <v>0.24518756169792696</v>
      </c>
      <c r="AK112" s="26">
        <f>+AH112+AE112+AB112</f>
        <v>1307.0967741935483</v>
      </c>
      <c r="AL112" s="93">
        <f t="shared" si="234"/>
        <v>12618.6647281106</v>
      </c>
      <c r="AM112" s="7">
        <f t="shared" si="230"/>
        <v>0.43004200990302555</v>
      </c>
      <c r="AN112" s="3">
        <f t="shared" si="235"/>
        <v>29342.865202764977</v>
      </c>
      <c r="AO112" s="7">
        <f t="shared" si="236"/>
        <v>3.8352587341572257E-2</v>
      </c>
      <c r="AP112" s="7">
        <f t="shared" ref="AP112:AP167" si="237">(+AD112+R112+F112)/(G112+S112+AE112)</f>
        <v>0.52087221768653713</v>
      </c>
      <c r="AQ112" s="94">
        <f t="shared" ref="AQ112:AQ167" si="238">(AG112+U112+I112)/(AH112+V112+J112)</f>
        <v>0.95375246777806189</v>
      </c>
    </row>
    <row r="113" spans="1:43" s="15" customFormat="1" x14ac:dyDescent="0.15">
      <c r="A113" s="147">
        <v>40391</v>
      </c>
      <c r="B113" s="25">
        <f t="shared" si="221"/>
        <v>4.8080903660772369E-2</v>
      </c>
      <c r="C113" s="51">
        <v>116.14285714285714</v>
      </c>
      <c r="D113" s="3">
        <v>2415.5714285714284</v>
      </c>
      <c r="E113" s="39">
        <f t="shared" si="222"/>
        <v>0.52174778540857969</v>
      </c>
      <c r="F113" s="51">
        <v>748.85714285714289</v>
      </c>
      <c r="G113" s="40">
        <v>1435.2857142857142</v>
      </c>
      <c r="H113" s="7">
        <f t="shared" si="223"/>
        <v>0.94805781391147237</v>
      </c>
      <c r="I113" s="51">
        <v>1199.4285714285713</v>
      </c>
      <c r="J113" s="26">
        <v>1265.1428571428571</v>
      </c>
      <c r="K113" s="63">
        <f t="shared" si="231"/>
        <v>2064.4285714285716</v>
      </c>
      <c r="L113" s="7">
        <f t="shared" ref="L113:L118" si="239">K113/M113</f>
        <v>0.4035239584496817</v>
      </c>
      <c r="M113" s="26">
        <f t="shared" ref="M113:M118" si="240">SUM(J113+G113+D113)</f>
        <v>5116</v>
      </c>
      <c r="N113" s="25">
        <f t="shared" si="226"/>
        <v>3.3946411271104607E-2</v>
      </c>
      <c r="O113" s="11">
        <v>424.14699999999999</v>
      </c>
      <c r="P113" s="3">
        <v>12494.605</v>
      </c>
      <c r="Q113" s="39">
        <f t="shared" si="227"/>
        <v>0.51594926106552674</v>
      </c>
      <c r="R113" s="3">
        <v>3181.0149999999999</v>
      </c>
      <c r="S113" s="40">
        <v>6165.3639999999996</v>
      </c>
      <c r="T113" s="7">
        <f t="shared" si="228"/>
        <v>0.96849329744406731</v>
      </c>
      <c r="U113" s="3">
        <v>7114.4830000000002</v>
      </c>
      <c r="V113" s="26">
        <v>7345.9290000000001</v>
      </c>
      <c r="W113" s="63">
        <f t="shared" si="232"/>
        <v>10719.645</v>
      </c>
      <c r="X113" s="7">
        <f t="shared" ref="X113:X118" si="241">W113/Y113</f>
        <v>0.41220053235616011</v>
      </c>
      <c r="Y113" s="24">
        <f t="shared" si="233"/>
        <v>26005.898000000001</v>
      </c>
      <c r="Z113" s="25">
        <f t="shared" ref="Z113:Z118" si="242">AA113/AB113</f>
        <v>1.8169429934135816E-3</v>
      </c>
      <c r="AA113" s="51">
        <v>1.2903225806451613</v>
      </c>
      <c r="AB113" s="51">
        <v>710.16129032258061</v>
      </c>
      <c r="AC113" s="39">
        <f t="shared" ref="AC113:AC118" si="243">AD113/AE113</f>
        <v>0.40774640026788705</v>
      </c>
      <c r="AD113" s="51">
        <v>117.83870967741936</v>
      </c>
      <c r="AE113" s="137">
        <v>289</v>
      </c>
      <c r="AF113" s="7">
        <f t="shared" ref="AF113:AF118" si="244">AG113/AH113</f>
        <v>0.61892476697736354</v>
      </c>
      <c r="AG113" s="51">
        <v>239.90322580645162</v>
      </c>
      <c r="AH113" s="104">
        <v>387.61290322580646</v>
      </c>
      <c r="AI113" s="63">
        <f>AG113+AD113+AA113</f>
        <v>359.03225806451616</v>
      </c>
      <c r="AJ113" s="7">
        <f t="shared" ref="AJ113:AJ118" si="245">AI113/AK113</f>
        <v>0.25889741800418703</v>
      </c>
      <c r="AK113" s="26">
        <f>+AH113+AE113+AB113</f>
        <v>1386.7741935483871</v>
      </c>
      <c r="AL113" s="93">
        <f t="shared" si="234"/>
        <v>13143.105829493088</v>
      </c>
      <c r="AM113" s="7">
        <f t="shared" ref="AM113:AM118" si="246">AL113/AN113</f>
        <v>0.40429537543835598</v>
      </c>
      <c r="AN113" s="3">
        <f t="shared" si="235"/>
        <v>32508.672193548387</v>
      </c>
      <c r="AO113" s="7">
        <f t="shared" si="236"/>
        <v>3.4671476985316335E-2</v>
      </c>
      <c r="AP113" s="7">
        <f t="shared" si="237"/>
        <v>0.51304062906689141</v>
      </c>
      <c r="AQ113" s="94">
        <f t="shared" si="238"/>
        <v>0.95056277945273693</v>
      </c>
    </row>
    <row r="114" spans="1:43" s="15" customFormat="1" x14ac:dyDescent="0.15">
      <c r="A114" s="147">
        <v>40360</v>
      </c>
      <c r="B114" s="25">
        <f t="shared" ref="B114:B119" si="247">C114/D114</f>
        <v>4.6245226983453541E-2</v>
      </c>
      <c r="C114" s="51">
        <f>763/7</f>
        <v>109</v>
      </c>
      <c r="D114" s="3">
        <f>16499/7</f>
        <v>2357</v>
      </c>
      <c r="E114" s="39">
        <f t="shared" ref="E114:E119" si="248">F114/G114</f>
        <v>0.51493123772102167</v>
      </c>
      <c r="F114" s="51">
        <f>5242/7</f>
        <v>748.85714285714289</v>
      </c>
      <c r="G114" s="40">
        <f>10180/7</f>
        <v>1454.2857142857142</v>
      </c>
      <c r="H114" s="7">
        <f t="shared" ref="H114:H119" si="249">I114/J114</f>
        <v>0.94848216264125862</v>
      </c>
      <c r="I114" s="51">
        <f>8561/7</f>
        <v>1223</v>
      </c>
      <c r="J114" s="26">
        <f>9026/7</f>
        <v>1289.4285714285713</v>
      </c>
      <c r="K114" s="63">
        <f t="shared" ref="K114:K119" si="250">SUM(C114+F114+I114)</f>
        <v>2080.8571428571431</v>
      </c>
      <c r="L114" s="7">
        <f t="shared" si="239"/>
        <v>0.40795406805769507</v>
      </c>
      <c r="M114" s="26">
        <f t="shared" si="240"/>
        <v>5100.7142857142853</v>
      </c>
      <c r="N114" s="25">
        <f t="shared" ref="N114:N119" si="251">O114/P114</f>
        <v>3.1919074898896733E-2</v>
      </c>
      <c r="O114" s="11">
        <v>408.65199999999999</v>
      </c>
      <c r="P114" s="3">
        <v>12802.752</v>
      </c>
      <c r="Q114" s="39">
        <f t="shared" ref="Q114:Q119" si="252">R114/S114</f>
        <v>0.51943743644250828</v>
      </c>
      <c r="R114" s="3">
        <v>3276.7489999999998</v>
      </c>
      <c r="S114" s="40">
        <v>6308.2650000000003</v>
      </c>
      <c r="T114" s="7">
        <f t="shared" ref="T114:T119" si="253">U114/V114</f>
        <v>0.96652155387204164</v>
      </c>
      <c r="U114" s="3">
        <v>6691.567</v>
      </c>
      <c r="V114" s="26">
        <v>6923.35</v>
      </c>
      <c r="W114" s="63">
        <f t="shared" ref="W114:W119" si="254">+U114+O114+R114</f>
        <v>10376.968000000001</v>
      </c>
      <c r="X114" s="7">
        <f t="shared" si="241"/>
        <v>0.39858729808948301</v>
      </c>
      <c r="Y114" s="24">
        <f t="shared" ref="Y114:Y119" si="255">+V114+S114+P114</f>
        <v>26034.367000000002</v>
      </c>
      <c r="Z114" s="25">
        <f t="shared" si="242"/>
        <v>1.6331935555065108E-3</v>
      </c>
      <c r="AA114" s="51">
        <f>37/31</f>
        <v>1.1935483870967742</v>
      </c>
      <c r="AB114" s="51">
        <f>22655/31</f>
        <v>730.80645161290317</v>
      </c>
      <c r="AC114" s="39">
        <f t="shared" si="243"/>
        <v>0.41439177612792688</v>
      </c>
      <c r="AD114" s="51">
        <f>3628/31</f>
        <v>117.03225806451613</v>
      </c>
      <c r="AE114" s="137">
        <f>8755/31</f>
        <v>282.41935483870969</v>
      </c>
      <c r="AF114" s="7">
        <f t="shared" si="244"/>
        <v>0.63497697620874904</v>
      </c>
      <c r="AG114" s="51">
        <v>213.51612903225808</v>
      </c>
      <c r="AH114" s="104">
        <f>10424/31</f>
        <v>336.25806451612902</v>
      </c>
      <c r="AI114" s="63">
        <f t="shared" ref="AI114:AI119" si="256">AG114+AD114+AA114</f>
        <v>331.74193548387098</v>
      </c>
      <c r="AJ114" s="7">
        <f t="shared" si="245"/>
        <v>0.24582875173304011</v>
      </c>
      <c r="AK114" s="26">
        <f t="shared" ref="AK114:AK119" si="257">+AH114+AE114+AB114</f>
        <v>1349.483870967742</v>
      </c>
      <c r="AL114" s="93">
        <f t="shared" ref="AL114:AL119" si="258">+AI114+W114+K114</f>
        <v>12789.567078341015</v>
      </c>
      <c r="AM114" s="7">
        <f t="shared" si="246"/>
        <v>0.39371212194632743</v>
      </c>
      <c r="AN114" s="3">
        <f t="shared" ref="AN114:AN119" si="259">+AK114+Y114+M114</f>
        <v>32484.565156682031</v>
      </c>
      <c r="AO114" s="7">
        <f t="shared" ref="AO114:AO119" si="260">(+AA114+O114+C114)/(D114+P114+AB114)</f>
        <v>3.2651184032769696E-2</v>
      </c>
      <c r="AP114" s="7">
        <f t="shared" si="237"/>
        <v>0.51493521608247872</v>
      </c>
      <c r="AQ114" s="94">
        <f t="shared" si="238"/>
        <v>0.95076012364451346</v>
      </c>
    </row>
    <row r="115" spans="1:43" s="15" customFormat="1" x14ac:dyDescent="0.15">
      <c r="A115" s="147">
        <v>40330</v>
      </c>
      <c r="B115" s="25">
        <f t="shared" si="247"/>
        <v>4.5989304812834225E-2</v>
      </c>
      <c r="C115" s="51">
        <v>98.285714285714292</v>
      </c>
      <c r="D115" s="3">
        <v>2137.1428571428573</v>
      </c>
      <c r="E115" s="39">
        <f t="shared" si="248"/>
        <v>0.5153237264055206</v>
      </c>
      <c r="F115" s="51">
        <v>725.42857142857144</v>
      </c>
      <c r="G115" s="40">
        <v>1407.7142857142858</v>
      </c>
      <c r="H115" s="7">
        <f t="shared" si="249"/>
        <v>0.97015720756727952</v>
      </c>
      <c r="I115" s="51">
        <v>1040.2857142857142</v>
      </c>
      <c r="J115" s="26">
        <v>1072.2857142857142</v>
      </c>
      <c r="K115" s="63">
        <f t="shared" si="250"/>
        <v>1864</v>
      </c>
      <c r="L115" s="7">
        <f t="shared" si="239"/>
        <v>0.40371287128712874</v>
      </c>
      <c r="M115" s="26">
        <f t="shared" si="240"/>
        <v>4617.1428571428569</v>
      </c>
      <c r="N115" s="25">
        <f t="shared" si="251"/>
        <v>3.3784229168738328E-2</v>
      </c>
      <c r="O115" s="11">
        <v>389.00799999999998</v>
      </c>
      <c r="P115" s="3">
        <v>11514.485000000001</v>
      </c>
      <c r="Q115" s="39">
        <f t="shared" si="252"/>
        <v>0.5316395260021215</v>
      </c>
      <c r="R115" s="3">
        <v>3330.5010000000002</v>
      </c>
      <c r="S115" s="40">
        <v>6264.585</v>
      </c>
      <c r="T115" s="7">
        <f t="shared" si="253"/>
        <v>0.96563442388462206</v>
      </c>
      <c r="U115" s="3">
        <v>6359.34</v>
      </c>
      <c r="V115" s="26">
        <v>6585.66</v>
      </c>
      <c r="W115" s="63">
        <f t="shared" si="254"/>
        <v>10078.849</v>
      </c>
      <c r="X115" s="7">
        <f t="shared" si="241"/>
        <v>0.4136655321031672</v>
      </c>
      <c r="Y115" s="24">
        <f t="shared" si="255"/>
        <v>24364.73</v>
      </c>
      <c r="Z115" s="25">
        <f t="shared" si="242"/>
        <v>2.3534333978348413E-3</v>
      </c>
      <c r="AA115" s="51">
        <v>1.5</v>
      </c>
      <c r="AB115" s="51">
        <v>637.36666666666667</v>
      </c>
      <c r="AC115" s="39">
        <f t="shared" si="243"/>
        <v>0.43045970288922686</v>
      </c>
      <c r="AD115" s="51">
        <v>122.66666666666667</v>
      </c>
      <c r="AE115" s="137">
        <v>284.96666666666664</v>
      </c>
      <c r="AF115" s="7">
        <f t="shared" si="244"/>
        <v>0.61667897890503154</v>
      </c>
      <c r="AG115" s="51">
        <v>250.43333333333334</v>
      </c>
      <c r="AH115" s="104">
        <v>406.1</v>
      </c>
      <c r="AI115" s="63">
        <f t="shared" si="256"/>
        <v>374.6</v>
      </c>
      <c r="AJ115" s="7">
        <f t="shared" si="245"/>
        <v>0.28198629965121824</v>
      </c>
      <c r="AK115" s="26">
        <f t="shared" si="257"/>
        <v>1328.4333333333334</v>
      </c>
      <c r="AL115" s="93">
        <f t="shared" si="258"/>
        <v>12317.449000000001</v>
      </c>
      <c r="AM115" s="7">
        <f t="shared" si="246"/>
        <v>0.40637824384203247</v>
      </c>
      <c r="AN115" s="3">
        <f t="shared" si="259"/>
        <v>30310.306190476193</v>
      </c>
      <c r="AO115" s="7">
        <f t="shared" si="260"/>
        <v>3.4207705340725342E-2</v>
      </c>
      <c r="AP115" s="7">
        <f t="shared" si="237"/>
        <v>0.52512964416439156</v>
      </c>
      <c r="AQ115" s="94">
        <f t="shared" si="238"/>
        <v>0.94866265875287947</v>
      </c>
    </row>
    <row r="116" spans="1:43" s="15" customFormat="1" x14ac:dyDescent="0.15">
      <c r="A116" s="147">
        <v>40299</v>
      </c>
      <c r="B116" s="25">
        <f t="shared" si="247"/>
        <v>3.8771990341497073E-2</v>
      </c>
      <c r="C116" s="51">
        <v>80.285714285714292</v>
      </c>
      <c r="D116" s="3">
        <v>2070.7142857142858</v>
      </c>
      <c r="E116" s="39">
        <f t="shared" si="248"/>
        <v>0.50824742268041245</v>
      </c>
      <c r="F116" s="51">
        <v>633.85714285714289</v>
      </c>
      <c r="G116" s="40">
        <v>1247.1428571428571</v>
      </c>
      <c r="H116" s="7">
        <f t="shared" si="249"/>
        <v>0.81517458650564456</v>
      </c>
      <c r="I116" s="51">
        <v>887.14285714285711</v>
      </c>
      <c r="J116" s="26">
        <v>1088.2857142857142</v>
      </c>
      <c r="K116" s="63">
        <f t="shared" si="250"/>
        <v>1601.2857142857142</v>
      </c>
      <c r="L116" s="7">
        <f t="shared" si="239"/>
        <v>0.36342119767856562</v>
      </c>
      <c r="M116" s="26">
        <f t="shared" si="240"/>
        <v>4406.1428571428569</v>
      </c>
      <c r="N116" s="25">
        <f t="shared" si="251"/>
        <v>3.228904041898438E-2</v>
      </c>
      <c r="O116" s="11">
        <v>347.89</v>
      </c>
      <c r="P116" s="3">
        <v>10774.244000000001</v>
      </c>
      <c r="Q116" s="39">
        <f t="shared" si="252"/>
        <v>0.5373310136910564</v>
      </c>
      <c r="R116" s="3">
        <v>3008.9</v>
      </c>
      <c r="S116" s="40">
        <v>5599.7139999999999</v>
      </c>
      <c r="T116" s="7">
        <f t="shared" si="253"/>
        <v>0.966345169225173</v>
      </c>
      <c r="U116" s="3">
        <v>6619.9930000000004</v>
      </c>
      <c r="V116" s="26">
        <v>6850.5469999999996</v>
      </c>
      <c r="W116" s="63">
        <f t="shared" si="254"/>
        <v>9976.7830000000013</v>
      </c>
      <c r="X116" s="7">
        <f t="shared" si="241"/>
        <v>0.42958000611853742</v>
      </c>
      <c r="Y116" s="24">
        <f t="shared" si="255"/>
        <v>23224.504999999997</v>
      </c>
      <c r="Z116" s="25">
        <f t="shared" si="242"/>
        <v>2.4178198466999327E-3</v>
      </c>
      <c r="AA116" s="51">
        <v>1.5161290322580645</v>
      </c>
      <c r="AB116" s="51">
        <f>19439/31</f>
        <v>627.06451612903231</v>
      </c>
      <c r="AC116" s="39">
        <f t="shared" si="243"/>
        <v>0.41597106288258207</v>
      </c>
      <c r="AD116" s="51">
        <f>2990/31</f>
        <v>96.451612903225808</v>
      </c>
      <c r="AE116" s="137">
        <f>7188/31</f>
        <v>231.87096774193549</v>
      </c>
      <c r="AF116" s="7">
        <f t="shared" si="244"/>
        <v>0.63459883331739508</v>
      </c>
      <c r="AG116" s="51">
        <f>6636/31</f>
        <v>214.06451612903226</v>
      </c>
      <c r="AH116" s="104">
        <f>10457/31</f>
        <v>337.32258064516128</v>
      </c>
      <c r="AI116" s="63">
        <f t="shared" si="256"/>
        <v>312.0322580645161</v>
      </c>
      <c r="AJ116" s="7">
        <f t="shared" si="245"/>
        <v>0.26084025455722137</v>
      </c>
      <c r="AK116" s="26">
        <f t="shared" si="257"/>
        <v>1196.2580645161293</v>
      </c>
      <c r="AL116" s="93">
        <f t="shared" si="258"/>
        <v>11890.100972350232</v>
      </c>
      <c r="AM116" s="7">
        <f t="shared" si="246"/>
        <v>0.41246538926734594</v>
      </c>
      <c r="AN116" s="3">
        <f t="shared" si="259"/>
        <v>28826.905921658981</v>
      </c>
      <c r="AO116" s="7">
        <f t="shared" si="260"/>
        <v>3.1895124409912622E-2</v>
      </c>
      <c r="AP116" s="7">
        <f t="shared" si="237"/>
        <v>0.52823174562743203</v>
      </c>
      <c r="AQ116" s="94">
        <f t="shared" si="238"/>
        <v>0.93294532281204356</v>
      </c>
    </row>
    <row r="117" spans="1:43" s="15" customFormat="1" x14ac:dyDescent="0.15">
      <c r="A117" s="147">
        <v>40269</v>
      </c>
      <c r="B117" s="25">
        <f t="shared" si="247"/>
        <v>3.3628444952163362E-2</v>
      </c>
      <c r="C117" s="51">
        <f>471/7</f>
        <v>67.285714285714292</v>
      </c>
      <c r="D117" s="3">
        <f>14006/7</f>
        <v>2000.8571428571429</v>
      </c>
      <c r="E117" s="39">
        <f t="shared" si="248"/>
        <v>0.50904331270823411</v>
      </c>
      <c r="F117" s="51">
        <f>4278/7</f>
        <v>611.14285714285711</v>
      </c>
      <c r="G117" s="40">
        <f>8404/7</f>
        <v>1200.5714285714287</v>
      </c>
      <c r="H117" s="7">
        <f t="shared" si="249"/>
        <v>0.87152186257808062</v>
      </c>
      <c r="I117" s="51">
        <f>6139/7</f>
        <v>877</v>
      </c>
      <c r="J117" s="26">
        <f>7044/7</f>
        <v>1006.2857142857143</v>
      </c>
      <c r="K117" s="63">
        <f t="shared" si="250"/>
        <v>1555.4285714285716</v>
      </c>
      <c r="L117" s="7">
        <f t="shared" si="239"/>
        <v>0.3696611665648129</v>
      </c>
      <c r="M117" s="26">
        <f t="shared" si="240"/>
        <v>4207.7142857142862</v>
      </c>
      <c r="N117" s="25">
        <f t="shared" si="251"/>
        <v>3.107757778104191E-2</v>
      </c>
      <c r="O117" s="11">
        <v>309.536</v>
      </c>
      <c r="P117" s="3">
        <v>9960.107</v>
      </c>
      <c r="Q117" s="39">
        <f t="shared" si="252"/>
        <v>0.53457253768929747</v>
      </c>
      <c r="R117" s="3">
        <v>2732.413</v>
      </c>
      <c r="S117" s="40">
        <v>5111.3980000000001</v>
      </c>
      <c r="T117" s="7">
        <f t="shared" si="253"/>
        <v>0.95371856047978598</v>
      </c>
      <c r="U117" s="3">
        <v>5879.1170000000002</v>
      </c>
      <c r="V117" s="26">
        <v>6164.415</v>
      </c>
      <c r="W117" s="63">
        <f t="shared" si="254"/>
        <v>8921.0660000000007</v>
      </c>
      <c r="X117" s="7">
        <f t="shared" si="241"/>
        <v>0.42009321941314537</v>
      </c>
      <c r="Y117" s="24">
        <f t="shared" si="255"/>
        <v>21235.919999999998</v>
      </c>
      <c r="Z117" s="25">
        <f t="shared" si="242"/>
        <v>2.289812494599499E-3</v>
      </c>
      <c r="AA117" s="51">
        <f>53/30</f>
        <v>1.7666666666666666</v>
      </c>
      <c r="AB117" s="51">
        <f>23146/30</f>
        <v>771.5333333333333</v>
      </c>
      <c r="AC117" s="39">
        <f t="shared" si="243"/>
        <v>0.41975801090280551</v>
      </c>
      <c r="AD117" s="51">
        <f>3157/30</f>
        <v>105.23333333333333</v>
      </c>
      <c r="AE117" s="137">
        <f>7521/30</f>
        <v>250.7</v>
      </c>
      <c r="AF117" s="7">
        <f t="shared" si="244"/>
        <v>0.6282290279627164</v>
      </c>
      <c r="AG117" s="51">
        <f>7077/30</f>
        <v>235.9</v>
      </c>
      <c r="AH117" s="104">
        <f>11265/30</f>
        <v>375.5</v>
      </c>
      <c r="AI117" s="63">
        <f t="shared" si="256"/>
        <v>342.9</v>
      </c>
      <c r="AJ117" s="7">
        <f t="shared" si="245"/>
        <v>0.24532576552513591</v>
      </c>
      <c r="AK117" s="26">
        <f t="shared" si="257"/>
        <v>1397.7333333333333</v>
      </c>
      <c r="AL117" s="93">
        <f t="shared" si="258"/>
        <v>10819.394571428573</v>
      </c>
      <c r="AM117" s="7">
        <f t="shared" si="246"/>
        <v>0.40308656119857073</v>
      </c>
      <c r="AN117" s="3">
        <f t="shared" si="259"/>
        <v>26841.367619047618</v>
      </c>
      <c r="AO117" s="7">
        <f t="shared" si="260"/>
        <v>2.9734023639928765E-2</v>
      </c>
      <c r="AP117" s="7">
        <f t="shared" si="237"/>
        <v>0.52551621379273517</v>
      </c>
      <c r="AQ117" s="94">
        <f t="shared" si="238"/>
        <v>0.92656122792538642</v>
      </c>
    </row>
    <row r="118" spans="1:43" s="15" customFormat="1" x14ac:dyDescent="0.15">
      <c r="A118" s="147">
        <v>40238</v>
      </c>
      <c r="B118" s="25">
        <f t="shared" si="247"/>
        <v>3.0990315526397999E-2</v>
      </c>
      <c r="C118" s="51">
        <v>70.857142857142861</v>
      </c>
      <c r="D118" s="3">
        <v>2286.4285714285716</v>
      </c>
      <c r="E118" s="39">
        <f t="shared" si="248"/>
        <v>0.50592601460553088</v>
      </c>
      <c r="F118" s="51">
        <v>603.71428571428567</v>
      </c>
      <c r="G118" s="40">
        <v>1193.2857142857142</v>
      </c>
      <c r="H118" s="7">
        <f t="shared" si="249"/>
        <v>0.85541448842419709</v>
      </c>
      <c r="I118" s="51">
        <v>818.14285714285711</v>
      </c>
      <c r="J118" s="26">
        <v>956.42857142857144</v>
      </c>
      <c r="K118" s="63">
        <f t="shared" si="250"/>
        <v>1492.7142857142858</v>
      </c>
      <c r="L118" s="7">
        <f t="shared" si="239"/>
        <v>0.33648922809390402</v>
      </c>
      <c r="M118" s="26">
        <f t="shared" si="240"/>
        <v>4436.1428571428569</v>
      </c>
      <c r="N118" s="25">
        <f t="shared" si="251"/>
        <v>2.966069899074078E-2</v>
      </c>
      <c r="O118" s="11">
        <v>339.541</v>
      </c>
      <c r="P118" s="3">
        <v>11447.504999999999</v>
      </c>
      <c r="Q118" s="39">
        <f t="shared" si="252"/>
        <v>0.52980101895966414</v>
      </c>
      <c r="R118" s="3">
        <v>2767.4490000000001</v>
      </c>
      <c r="S118" s="40">
        <v>5223.5630000000001</v>
      </c>
      <c r="T118" s="7">
        <f t="shared" si="253"/>
        <v>0.96515151924519216</v>
      </c>
      <c r="U118" s="3">
        <v>6072.7709999999997</v>
      </c>
      <c r="V118" s="26">
        <v>6292.0389999999998</v>
      </c>
      <c r="W118" s="63">
        <f t="shared" si="254"/>
        <v>9179.7610000000004</v>
      </c>
      <c r="X118" s="7">
        <f t="shared" si="241"/>
        <v>0.39976127794901628</v>
      </c>
      <c r="Y118" s="24">
        <f t="shared" si="255"/>
        <v>22963.106999999996</v>
      </c>
      <c r="Z118" s="25">
        <f t="shared" si="242"/>
        <v>1.957883745214062E-3</v>
      </c>
      <c r="AA118" s="51">
        <v>1.5</v>
      </c>
      <c r="AB118" s="51">
        <v>766.13333333333333</v>
      </c>
      <c r="AC118" s="39">
        <f t="shared" si="243"/>
        <v>0.41877900749732233</v>
      </c>
      <c r="AD118" s="51">
        <v>117.3</v>
      </c>
      <c r="AE118" s="137">
        <v>280.10000000000002</v>
      </c>
      <c r="AF118" s="7">
        <f t="shared" si="244"/>
        <v>0.61628292198111645</v>
      </c>
      <c r="AG118" s="51">
        <v>248.03333333333333</v>
      </c>
      <c r="AH118" s="104">
        <v>402.46666666666664</v>
      </c>
      <c r="AI118" s="63">
        <f t="shared" si="256"/>
        <v>366.83333333333331</v>
      </c>
      <c r="AJ118" s="7">
        <f t="shared" si="245"/>
        <v>0.25321552656404595</v>
      </c>
      <c r="AK118" s="26">
        <f t="shared" si="257"/>
        <v>1448.6999999999998</v>
      </c>
      <c r="AL118" s="93">
        <f t="shared" si="258"/>
        <v>11039.308619047621</v>
      </c>
      <c r="AM118" s="7">
        <f t="shared" si="246"/>
        <v>0.38267220629941051</v>
      </c>
      <c r="AN118" s="3">
        <f t="shared" si="259"/>
        <v>28847.949857142856</v>
      </c>
      <c r="AO118" s="7">
        <f t="shared" si="260"/>
        <v>2.8406637401229725E-2</v>
      </c>
      <c r="AP118" s="7">
        <f t="shared" si="237"/>
        <v>0.52090338966950855</v>
      </c>
      <c r="AQ118" s="94">
        <f t="shared" si="238"/>
        <v>0.93308176077768634</v>
      </c>
    </row>
    <row r="119" spans="1:43" s="15" customFormat="1" x14ac:dyDescent="0.15">
      <c r="A119" s="147">
        <v>40210</v>
      </c>
      <c r="B119" s="25">
        <f t="shared" si="247"/>
        <v>2.6904106079046825E-2</v>
      </c>
      <c r="C119" s="51">
        <v>60</v>
      </c>
      <c r="D119" s="3">
        <v>2230.1428571428573</v>
      </c>
      <c r="E119" s="39">
        <f t="shared" si="248"/>
        <v>0.49850395383628981</v>
      </c>
      <c r="F119" s="51">
        <v>666.42857142857144</v>
      </c>
      <c r="G119" s="40">
        <v>1336.8571428571429</v>
      </c>
      <c r="H119" s="7">
        <f t="shared" si="249"/>
        <v>0.95865551522802583</v>
      </c>
      <c r="I119" s="51">
        <v>867.85714285714289</v>
      </c>
      <c r="J119" s="26">
        <v>905.28571428571433</v>
      </c>
      <c r="K119" s="63">
        <f t="shared" si="250"/>
        <v>1594.2857142857142</v>
      </c>
      <c r="L119" s="7">
        <f t="shared" ref="L119:L124" si="261">K119/M119</f>
        <v>0.35648118571519832</v>
      </c>
      <c r="M119" s="26">
        <f t="shared" ref="M119:M124" si="262">SUM(J119+G119+D119)</f>
        <v>4472.2857142857147</v>
      </c>
      <c r="N119" s="25">
        <f t="shared" si="251"/>
        <v>2.8808789451885114E-2</v>
      </c>
      <c r="O119" s="11">
        <v>340.05799999999999</v>
      </c>
      <c r="P119" s="3">
        <v>11803.967000000001</v>
      </c>
      <c r="Q119" s="39">
        <f t="shared" si="252"/>
        <v>0.52622215252287408</v>
      </c>
      <c r="R119" s="3">
        <v>2677.6930000000002</v>
      </c>
      <c r="S119" s="40">
        <v>5088.5219999999999</v>
      </c>
      <c r="T119" s="7">
        <f t="shared" si="253"/>
        <v>0.96396002923833546</v>
      </c>
      <c r="U119" s="3">
        <v>5930.4719999999998</v>
      </c>
      <c r="V119" s="26">
        <v>6152.1970000000001</v>
      </c>
      <c r="W119" s="63">
        <f t="shared" si="254"/>
        <v>8948.223</v>
      </c>
      <c r="X119" s="7">
        <f t="shared" ref="X119:X124" si="263">W119/Y119</f>
        <v>0.388298760069892</v>
      </c>
      <c r="Y119" s="24">
        <f t="shared" si="255"/>
        <v>23044.686000000002</v>
      </c>
      <c r="Z119" s="25">
        <f t="shared" ref="Z119:Z125" si="264">AA119/AB119</f>
        <v>2.1339382983562986E-3</v>
      </c>
      <c r="AA119" s="51">
        <v>1.6428571428571428</v>
      </c>
      <c r="AB119" s="51">
        <v>769.87096774193549</v>
      </c>
      <c r="AC119" s="39">
        <f t="shared" ref="AC119:AC125" si="265">AD119/AE119</f>
        <v>0.40902021772939345</v>
      </c>
      <c r="AD119" s="51">
        <v>112.71428571428571</v>
      </c>
      <c r="AE119" s="137">
        <v>275.57142857142856</v>
      </c>
      <c r="AF119" s="7">
        <f t="shared" ref="AF119:AF125" si="266">AG119/AH119</f>
        <v>0.59147193928500097</v>
      </c>
      <c r="AG119" s="51">
        <v>211.53571428571428</v>
      </c>
      <c r="AH119" s="104">
        <v>357.64285714285717</v>
      </c>
      <c r="AI119" s="63">
        <f t="shared" si="256"/>
        <v>325.89285714285717</v>
      </c>
      <c r="AJ119" s="7">
        <f t="shared" ref="AJ119:AJ124" si="267">AI119/AK119</f>
        <v>0.23226874941496603</v>
      </c>
      <c r="AK119" s="26">
        <f t="shared" si="257"/>
        <v>1403.0852534562214</v>
      </c>
      <c r="AL119" s="93">
        <f t="shared" si="258"/>
        <v>10868.401571428571</v>
      </c>
      <c r="AM119" s="7">
        <f t="shared" ref="AM119:AM124" si="268">AL119/AN119</f>
        <v>0.37580844268569119</v>
      </c>
      <c r="AN119" s="3">
        <f t="shared" si="259"/>
        <v>28920.056967741937</v>
      </c>
      <c r="AO119" s="7">
        <f t="shared" si="260"/>
        <v>2.7134651273501852E-2</v>
      </c>
      <c r="AP119" s="7">
        <f t="shared" si="237"/>
        <v>0.51587246022707145</v>
      </c>
      <c r="AQ119" s="94">
        <f t="shared" si="238"/>
        <v>0.94534674964275245</v>
      </c>
    </row>
    <row r="120" spans="1:43" s="15" customFormat="1" x14ac:dyDescent="0.15">
      <c r="A120" s="147">
        <v>40179</v>
      </c>
      <c r="B120" s="25">
        <f t="shared" ref="B120:B125" si="269">C120/D120</f>
        <v>2.7011225444340505E-2</v>
      </c>
      <c r="C120" s="51">
        <v>66</v>
      </c>
      <c r="D120" s="3">
        <v>2443.4285714285716</v>
      </c>
      <c r="E120" s="39">
        <f t="shared" ref="E120:E125" si="270">F120/G120</f>
        <v>0.50434604765313429</v>
      </c>
      <c r="F120" s="51">
        <v>704.57142857142856</v>
      </c>
      <c r="G120" s="40">
        <v>1397</v>
      </c>
      <c r="H120" s="7">
        <f t="shared" ref="H120:H125" si="271">I120/J120</f>
        <v>0.94473930689978147</v>
      </c>
      <c r="I120" s="51">
        <v>864.57142857142856</v>
      </c>
      <c r="J120" s="26">
        <v>915.14285714285711</v>
      </c>
      <c r="K120" s="63">
        <f t="shared" ref="K120:K125" si="272">SUM(C120+F120+I120)</f>
        <v>1635.1428571428571</v>
      </c>
      <c r="L120" s="7">
        <f t="shared" si="261"/>
        <v>0.34383730361380638</v>
      </c>
      <c r="M120" s="26">
        <f t="shared" si="262"/>
        <v>4755.5714285714284</v>
      </c>
      <c r="N120" s="25">
        <f t="shared" ref="N120:N125" si="273">O120/P120</f>
        <v>2.6374880220112033E-2</v>
      </c>
      <c r="O120" s="11">
        <v>351.40300000000002</v>
      </c>
      <c r="P120" s="3">
        <v>13323.397000000001</v>
      </c>
      <c r="Q120" s="39">
        <f t="shared" ref="Q120:Q125" si="274">R120/S120</f>
        <v>0.52553603841163743</v>
      </c>
      <c r="R120" s="3">
        <v>2761.2930000000001</v>
      </c>
      <c r="S120" s="40">
        <v>5254.241</v>
      </c>
      <c r="T120" s="7">
        <f t="shared" ref="T120:T125" si="275">U120/V120</f>
        <v>0.95734037710197117</v>
      </c>
      <c r="U120" s="3">
        <v>6050.1260000000002</v>
      </c>
      <c r="V120" s="26">
        <v>6319.723</v>
      </c>
      <c r="W120" s="63">
        <f t="shared" ref="W120:W125" si="276">+U120+O120+R120</f>
        <v>9162.8220000000001</v>
      </c>
      <c r="X120" s="7">
        <f t="shared" si="263"/>
        <v>0.36802382389041149</v>
      </c>
      <c r="Y120" s="24">
        <f t="shared" ref="Y120:Y125" si="277">+V120+S120+P120</f>
        <v>24897.361000000001</v>
      </c>
      <c r="Z120" s="25">
        <f t="shared" si="264"/>
        <v>1.4471269236199351E-3</v>
      </c>
      <c r="AA120" s="51">
        <v>1.3225806451612903</v>
      </c>
      <c r="AB120" s="51">
        <v>913.93548387096769</v>
      </c>
      <c r="AC120" s="39">
        <f t="shared" si="265"/>
        <v>0.40734804586364198</v>
      </c>
      <c r="AD120" s="51">
        <v>106.58064516129032</v>
      </c>
      <c r="AE120" s="137">
        <v>261.64516129032256</v>
      </c>
      <c r="AF120" s="7">
        <f t="shared" si="266"/>
        <v>0.59895782125651365</v>
      </c>
      <c r="AG120" s="51">
        <v>196.51612903225808</v>
      </c>
      <c r="AH120" s="104">
        <v>328.09677419354841</v>
      </c>
      <c r="AI120" s="63">
        <f t="shared" ref="AI120:AI125" si="278">AG120+AD120+AA120</f>
        <v>304.41935483870969</v>
      </c>
      <c r="AJ120" s="7">
        <f t="shared" si="267"/>
        <v>0.20244990775303559</v>
      </c>
      <c r="AK120" s="26">
        <f t="shared" ref="AK120:AK125" si="279">+AH120+AE120+AB120</f>
        <v>1503.6774193548385</v>
      </c>
      <c r="AL120" s="93">
        <f t="shared" ref="AL120:AL125" si="280">+AI120+W120+K120</f>
        <v>11102.384211981567</v>
      </c>
      <c r="AM120" s="7">
        <f t="shared" si="268"/>
        <v>0.35634121511203259</v>
      </c>
      <c r="AN120" s="3">
        <f t="shared" ref="AN120:AN125" si="281">+AK120+Y120+M120</f>
        <v>31156.609847926266</v>
      </c>
      <c r="AO120" s="7">
        <f t="shared" ref="AO120:AO125" si="282">(+AA120+O120+C120)/(D120+P120+AB120)</f>
        <v>2.5102306738704266E-2</v>
      </c>
      <c r="AP120" s="7">
        <f t="shared" si="237"/>
        <v>0.5167805443892779</v>
      </c>
      <c r="AQ120" s="94">
        <f t="shared" si="238"/>
        <v>0.94026823934565806</v>
      </c>
    </row>
    <row r="121" spans="1:43" s="15" customFormat="1" x14ac:dyDescent="0.15">
      <c r="A121" s="147">
        <v>40148</v>
      </c>
      <c r="B121" s="25">
        <f t="shared" si="269"/>
        <v>2.1951080449284451E-2</v>
      </c>
      <c r="C121" s="51">
        <v>55</v>
      </c>
      <c r="D121" s="3">
        <v>2505.5714285714284</v>
      </c>
      <c r="E121" s="39">
        <f t="shared" si="270"/>
        <v>0.50944013969224056</v>
      </c>
      <c r="F121" s="51">
        <v>666.85714285714289</v>
      </c>
      <c r="G121" s="40">
        <v>1309</v>
      </c>
      <c r="H121" s="7">
        <f t="shared" si="271"/>
        <v>0.96310646900269536</v>
      </c>
      <c r="I121" s="51">
        <v>816.71428571428567</v>
      </c>
      <c r="J121" s="26">
        <v>848</v>
      </c>
      <c r="K121" s="63">
        <f t="shared" si="272"/>
        <v>1538.5714285714284</v>
      </c>
      <c r="L121" s="7">
        <f t="shared" si="261"/>
        <v>0.32998345486855812</v>
      </c>
      <c r="M121" s="26">
        <f t="shared" si="262"/>
        <v>4662.5714285714284</v>
      </c>
      <c r="N121" s="25">
        <f t="shared" si="273"/>
        <v>2.1819695717336107E-2</v>
      </c>
      <c r="O121" s="11">
        <v>293.971</v>
      </c>
      <c r="P121" s="3">
        <v>13472.736000000001</v>
      </c>
      <c r="Q121" s="39">
        <f t="shared" si="274"/>
        <v>0.52650961585079781</v>
      </c>
      <c r="R121" s="3">
        <v>2888.6750000000002</v>
      </c>
      <c r="S121" s="40">
        <v>5486.4620000000004</v>
      </c>
      <c r="T121" s="7">
        <f t="shared" si="275"/>
        <v>0.956776582344534</v>
      </c>
      <c r="U121" s="3">
        <v>5674.817</v>
      </c>
      <c r="V121" s="26">
        <v>5931.183</v>
      </c>
      <c r="W121" s="63">
        <f t="shared" si="276"/>
        <v>8857.4629999999997</v>
      </c>
      <c r="X121" s="7">
        <f t="shared" si="263"/>
        <v>0.35585887576409536</v>
      </c>
      <c r="Y121" s="24">
        <f t="shared" si="277"/>
        <v>24890.381000000001</v>
      </c>
      <c r="Z121" s="25">
        <f t="shared" si="264"/>
        <v>1.159180293935003E-3</v>
      </c>
      <c r="AA121" s="51">
        <v>0.90322580645161288</v>
      </c>
      <c r="AB121" s="51">
        <v>779.19354838709683</v>
      </c>
      <c r="AC121" s="39">
        <f t="shared" si="265"/>
        <v>0.39931099279674281</v>
      </c>
      <c r="AD121" s="51">
        <v>109.6774193548387</v>
      </c>
      <c r="AE121" s="137">
        <v>274.66666666666669</v>
      </c>
      <c r="AF121" s="7">
        <f t="shared" si="266"/>
        <v>0.57821919161972524</v>
      </c>
      <c r="AG121" s="51">
        <v>188.74193548387098</v>
      </c>
      <c r="AH121" s="104">
        <v>326.41935483870969</v>
      </c>
      <c r="AI121" s="63">
        <f t="shared" si="278"/>
        <v>299.32258064516128</v>
      </c>
      <c r="AJ121" s="7">
        <f t="shared" si="267"/>
        <v>0.21685648847825745</v>
      </c>
      <c r="AK121" s="26">
        <f t="shared" si="279"/>
        <v>1380.2795698924733</v>
      </c>
      <c r="AL121" s="93">
        <f t="shared" si="280"/>
        <v>10695.35700921659</v>
      </c>
      <c r="AM121" s="7">
        <f t="shared" si="268"/>
        <v>0.34575620839580246</v>
      </c>
      <c r="AN121" s="3">
        <f t="shared" si="281"/>
        <v>30933.231998463903</v>
      </c>
      <c r="AO121" s="7">
        <f t="shared" si="282"/>
        <v>2.0878663607868903E-2</v>
      </c>
      <c r="AP121" s="7">
        <f t="shared" si="237"/>
        <v>0.51840775960588092</v>
      </c>
      <c r="AQ121" s="94">
        <f t="shared" si="238"/>
        <v>0.94014172023700204</v>
      </c>
    </row>
    <row r="122" spans="1:43" s="15" customFormat="1" x14ac:dyDescent="0.15">
      <c r="A122" s="147">
        <v>40118</v>
      </c>
      <c r="B122" s="25">
        <f t="shared" si="269"/>
        <v>1.5446783549501401E-2</v>
      </c>
      <c r="C122" s="51">
        <v>33.857142857142854</v>
      </c>
      <c r="D122" s="3">
        <v>2191.8571428571427</v>
      </c>
      <c r="E122" s="39">
        <f t="shared" si="270"/>
        <v>0.49024937950596853</v>
      </c>
      <c r="F122" s="51">
        <v>592.57142857142856</v>
      </c>
      <c r="G122" s="40">
        <v>1208.7142857142858</v>
      </c>
      <c r="H122" s="7">
        <f t="shared" si="271"/>
        <v>0.96049046321525877</v>
      </c>
      <c r="I122" s="51">
        <v>805.71428571428567</v>
      </c>
      <c r="J122" s="26">
        <v>838.85714285714289</v>
      </c>
      <c r="K122" s="63">
        <f t="shared" si="272"/>
        <v>1432.1428571428571</v>
      </c>
      <c r="L122" s="7">
        <f t="shared" si="261"/>
        <v>0.33781506941636336</v>
      </c>
      <c r="M122" s="26">
        <f t="shared" si="262"/>
        <v>4239.4285714285716</v>
      </c>
      <c r="N122" s="25">
        <f t="shared" si="273"/>
        <v>2.0533113771176309E-2</v>
      </c>
      <c r="O122" s="11">
        <v>237.48699999999999</v>
      </c>
      <c r="P122" s="3">
        <v>11566.049000000001</v>
      </c>
      <c r="Q122" s="39">
        <f t="shared" si="274"/>
        <v>0.51632458013537508</v>
      </c>
      <c r="R122" s="3">
        <v>2561.2730000000001</v>
      </c>
      <c r="S122" s="40">
        <v>4960.5870000000004</v>
      </c>
      <c r="T122" s="7">
        <f t="shared" si="275"/>
        <v>0.95772356266534975</v>
      </c>
      <c r="U122" s="3">
        <v>5771.473</v>
      </c>
      <c r="V122" s="26">
        <v>6026.241</v>
      </c>
      <c r="W122" s="63">
        <f t="shared" si="276"/>
        <v>8570.2330000000002</v>
      </c>
      <c r="X122" s="7">
        <f t="shared" si="263"/>
        <v>0.38000619610526853</v>
      </c>
      <c r="Y122" s="24">
        <f t="shared" si="277"/>
        <v>22552.877</v>
      </c>
      <c r="Z122" s="25">
        <f t="shared" si="264"/>
        <v>1.9274281404508507E-3</v>
      </c>
      <c r="AA122" s="51">
        <v>1.5333333333333334</v>
      </c>
      <c r="AB122" s="51">
        <v>795.5333333333333</v>
      </c>
      <c r="AC122" s="39">
        <f t="shared" si="265"/>
        <v>0.40902021772939351</v>
      </c>
      <c r="AD122" s="51">
        <v>105.2</v>
      </c>
      <c r="AE122" s="137">
        <v>257.2</v>
      </c>
      <c r="AF122" s="7">
        <f t="shared" si="266"/>
        <v>0.59147193928500097</v>
      </c>
      <c r="AG122" s="51">
        <v>197.43333333333334</v>
      </c>
      <c r="AH122" s="104">
        <v>333.8</v>
      </c>
      <c r="AI122" s="63">
        <f t="shared" si="278"/>
        <v>304.16666666666669</v>
      </c>
      <c r="AJ122" s="7">
        <f t="shared" si="267"/>
        <v>0.219372055005289</v>
      </c>
      <c r="AK122" s="26">
        <f t="shared" si="279"/>
        <v>1386.5333333333333</v>
      </c>
      <c r="AL122" s="93">
        <f t="shared" si="280"/>
        <v>10306.542523809523</v>
      </c>
      <c r="AM122" s="7">
        <f t="shared" si="268"/>
        <v>0.36575469126472182</v>
      </c>
      <c r="AN122" s="3">
        <f t="shared" si="281"/>
        <v>28178.838904761906</v>
      </c>
      <c r="AO122" s="7">
        <f t="shared" si="282"/>
        <v>1.8750033394985804E-2</v>
      </c>
      <c r="AP122" s="7">
        <f t="shared" si="237"/>
        <v>0.50712577243485224</v>
      </c>
      <c r="AQ122" s="94">
        <f t="shared" si="238"/>
        <v>0.94106354675534631</v>
      </c>
    </row>
    <row r="123" spans="1:43" s="15" customFormat="1" x14ac:dyDescent="0.15">
      <c r="A123" s="147">
        <v>40087</v>
      </c>
      <c r="B123" s="25">
        <f t="shared" si="269"/>
        <v>1.430172016081197E-2</v>
      </c>
      <c r="C123" s="51">
        <v>31</v>
      </c>
      <c r="D123" s="3">
        <v>2167.5714285714284</v>
      </c>
      <c r="E123" s="39">
        <f t="shared" si="270"/>
        <v>0.4787367460950861</v>
      </c>
      <c r="F123" s="51">
        <v>599.85714285714289</v>
      </c>
      <c r="G123" s="40">
        <v>1253</v>
      </c>
      <c r="H123" s="7">
        <f t="shared" si="271"/>
        <v>0.95669736629503965</v>
      </c>
      <c r="I123" s="51">
        <v>845.85714285714289</v>
      </c>
      <c r="J123" s="26">
        <v>884.14285714285711</v>
      </c>
      <c r="K123" s="63">
        <f t="shared" si="272"/>
        <v>1476.7142857142858</v>
      </c>
      <c r="L123" s="7">
        <f t="shared" si="261"/>
        <v>0.34304583015298845</v>
      </c>
      <c r="M123" s="26">
        <f t="shared" si="262"/>
        <v>4304.7142857142853</v>
      </c>
      <c r="N123" s="25">
        <f t="shared" si="273"/>
        <v>2.0013250386895401E-2</v>
      </c>
      <c r="O123" s="11">
        <v>211.51499999999999</v>
      </c>
      <c r="P123" s="3">
        <v>10568.748</v>
      </c>
      <c r="Q123" s="39">
        <f t="shared" si="274"/>
        <v>0.49533746222494057</v>
      </c>
      <c r="R123" s="3">
        <v>2627.1529999999998</v>
      </c>
      <c r="S123" s="40">
        <v>5303.7640000000001</v>
      </c>
      <c r="T123" s="7">
        <f t="shared" si="275"/>
        <v>0.95290835275414587</v>
      </c>
      <c r="U123" s="3">
        <v>6573.6639999999998</v>
      </c>
      <c r="V123" s="26">
        <v>6898.527</v>
      </c>
      <c r="W123" s="63">
        <f t="shared" si="276"/>
        <v>9412.3320000000003</v>
      </c>
      <c r="X123" s="7">
        <f t="shared" si="263"/>
        <v>0.41334661980070386</v>
      </c>
      <c r="Y123" s="24">
        <f t="shared" si="277"/>
        <v>22771.039000000001</v>
      </c>
      <c r="Z123" s="25">
        <f t="shared" si="264"/>
        <v>2.7545721381801759E-3</v>
      </c>
      <c r="AA123" s="51">
        <v>2.0333333333333332</v>
      </c>
      <c r="AB123" s="51">
        <v>738.16666666666663</v>
      </c>
      <c r="AC123" s="39">
        <f t="shared" si="265"/>
        <v>0.40022491565662877</v>
      </c>
      <c r="AD123" s="51">
        <v>106.76666666666667</v>
      </c>
      <c r="AE123" s="137">
        <v>266.76666666666665</v>
      </c>
      <c r="AF123" s="7">
        <f t="shared" si="266"/>
        <v>0.54248822195079394</v>
      </c>
      <c r="AG123" s="51">
        <v>207.26666666666668</v>
      </c>
      <c r="AH123" s="104">
        <v>382.06666666666666</v>
      </c>
      <c r="AI123" s="63">
        <f t="shared" si="278"/>
        <v>316.06666666666672</v>
      </c>
      <c r="AJ123" s="7">
        <f t="shared" si="267"/>
        <v>0.2278779139629897</v>
      </c>
      <c r="AK123" s="26">
        <f t="shared" si="279"/>
        <v>1387</v>
      </c>
      <c r="AL123" s="93">
        <f t="shared" si="280"/>
        <v>11205.112952380954</v>
      </c>
      <c r="AM123" s="7">
        <f t="shared" si="268"/>
        <v>0.39367635449395899</v>
      </c>
      <c r="AN123" s="3">
        <f t="shared" si="281"/>
        <v>28462.753285714287</v>
      </c>
      <c r="AO123" s="7">
        <f t="shared" si="282"/>
        <v>1.8148991479516027E-2</v>
      </c>
      <c r="AP123" s="7">
        <f t="shared" si="237"/>
        <v>0.48857064947469175</v>
      </c>
      <c r="AQ123" s="94">
        <f t="shared" si="238"/>
        <v>0.93411315690139174</v>
      </c>
    </row>
    <row r="124" spans="1:43" s="15" customFormat="1" x14ac:dyDescent="0.15">
      <c r="A124" s="147">
        <v>40057</v>
      </c>
      <c r="B124" s="25">
        <f t="shared" si="269"/>
        <v>1.4171413072959048E-2</v>
      </c>
      <c r="C124" s="51">
        <v>29.857142857142858</v>
      </c>
      <c r="D124" s="3">
        <f>14748/7</f>
        <v>2106.8571428571427</v>
      </c>
      <c r="E124" s="39">
        <f t="shared" si="270"/>
        <v>0.46676480579775786</v>
      </c>
      <c r="F124" s="51">
        <v>588.85714285714289</v>
      </c>
      <c r="G124" s="40">
        <f>8831/7</f>
        <v>1261.5714285714287</v>
      </c>
      <c r="H124" s="7">
        <f t="shared" si="271"/>
        <v>0.93980288097043219</v>
      </c>
      <c r="I124" s="51">
        <f>6198/7</f>
        <v>885.42857142857144</v>
      </c>
      <c r="J124" s="26">
        <f>6595/7</f>
        <v>942.14285714285711</v>
      </c>
      <c r="K124" s="63">
        <f t="shared" si="272"/>
        <v>1504.1428571428573</v>
      </c>
      <c r="L124" s="7">
        <f t="shared" si="261"/>
        <v>0.34894279843573944</v>
      </c>
      <c r="M124" s="26">
        <f t="shared" si="262"/>
        <v>4310.5714285714284</v>
      </c>
      <c r="N124" s="25">
        <f t="shared" si="273"/>
        <v>1.7120876954517261E-2</v>
      </c>
      <c r="O124" s="11">
        <v>176.82</v>
      </c>
      <c r="P124" s="3">
        <v>10327.742</v>
      </c>
      <c r="Q124" s="39">
        <f t="shared" si="274"/>
        <v>0.47146099775320327</v>
      </c>
      <c r="R124" s="3">
        <v>2536.7190000000001</v>
      </c>
      <c r="S124" s="40">
        <v>5380.549</v>
      </c>
      <c r="T124" s="7">
        <f t="shared" si="275"/>
        <v>0.95122815914090764</v>
      </c>
      <c r="U124" s="3">
        <v>6377.7470000000003</v>
      </c>
      <c r="V124" s="26">
        <v>6704.75</v>
      </c>
      <c r="W124" s="63">
        <f t="shared" si="276"/>
        <v>9091.2860000000001</v>
      </c>
      <c r="X124" s="7">
        <f t="shared" si="263"/>
        <v>0.4056248324357235</v>
      </c>
      <c r="Y124" s="24">
        <f t="shared" si="277"/>
        <v>22413.040999999997</v>
      </c>
      <c r="Z124" s="25">
        <f t="shared" si="264"/>
        <v>8.8300220750551876E-4</v>
      </c>
      <c r="AA124" s="51">
        <v>0.6</v>
      </c>
      <c r="AB124" s="51">
        <f>20385/30</f>
        <v>679.5</v>
      </c>
      <c r="AC124" s="39">
        <f t="shared" si="265"/>
        <v>0.40171358629130971</v>
      </c>
      <c r="AD124" s="51">
        <v>109.4</v>
      </c>
      <c r="AE124" s="137">
        <v>272.33333333333331</v>
      </c>
      <c r="AF124" s="7">
        <f t="shared" si="266"/>
        <v>0.62197110904007458</v>
      </c>
      <c r="AG124" s="51">
        <v>177.96666666666667</v>
      </c>
      <c r="AH124" s="104">
        <v>286.13333333333333</v>
      </c>
      <c r="AI124" s="63">
        <f t="shared" si="278"/>
        <v>287.9666666666667</v>
      </c>
      <c r="AJ124" s="7">
        <f t="shared" si="267"/>
        <v>0.23261261746412129</v>
      </c>
      <c r="AK124" s="26">
        <f t="shared" si="279"/>
        <v>1237.9666666666667</v>
      </c>
      <c r="AL124" s="93">
        <f t="shared" si="280"/>
        <v>10883.395523809524</v>
      </c>
      <c r="AM124" s="7">
        <f t="shared" si="268"/>
        <v>0.38922678460827653</v>
      </c>
      <c r="AN124" s="3">
        <f t="shared" si="281"/>
        <v>27961.579095238092</v>
      </c>
      <c r="AO124" s="7">
        <f t="shared" si="282"/>
        <v>1.5805671483735923E-2</v>
      </c>
      <c r="AP124" s="7">
        <f t="shared" si="237"/>
        <v>0.46785707942401322</v>
      </c>
      <c r="AQ124" s="94">
        <f t="shared" si="238"/>
        <v>0.93799542059101337</v>
      </c>
    </row>
    <row r="125" spans="1:43" s="15" customFormat="1" x14ac:dyDescent="0.15">
      <c r="A125" s="147">
        <v>40026</v>
      </c>
      <c r="B125" s="25">
        <f t="shared" si="269"/>
        <v>1.4005069708491762E-2</v>
      </c>
      <c r="C125" s="51">
        <v>31.571428571428573</v>
      </c>
      <c r="D125" s="3">
        <v>2254.2857142857142</v>
      </c>
      <c r="E125" s="39">
        <f t="shared" si="270"/>
        <v>0.45025619128949618</v>
      </c>
      <c r="F125" s="51">
        <v>602.57142857142856</v>
      </c>
      <c r="G125" s="40">
        <v>1338.2857142857142</v>
      </c>
      <c r="H125" s="7">
        <f t="shared" si="271"/>
        <v>0.82378462565357669</v>
      </c>
      <c r="I125" s="51">
        <v>1057.8571428571429</v>
      </c>
      <c r="J125" s="26">
        <v>1284.1428571428571</v>
      </c>
      <c r="K125" s="63">
        <f t="shared" si="272"/>
        <v>1692</v>
      </c>
      <c r="L125" s="7">
        <f t="shared" ref="L125:L130" si="283">K125/M125</f>
        <v>0.34695491695228048</v>
      </c>
      <c r="M125" s="26">
        <f t="shared" ref="M125:M130" si="284">SUM(J125+G125+D125)</f>
        <v>4876.7142857142862</v>
      </c>
      <c r="N125" s="25">
        <f t="shared" si="273"/>
        <v>1.5676005430802054E-2</v>
      </c>
      <c r="O125" s="11">
        <v>180.10599999999999</v>
      </c>
      <c r="P125" s="3">
        <v>11489.279</v>
      </c>
      <c r="Q125" s="39">
        <f t="shared" si="274"/>
        <v>0.45947189088169121</v>
      </c>
      <c r="R125" s="3">
        <v>2628.1930000000002</v>
      </c>
      <c r="S125" s="40">
        <v>5720.03</v>
      </c>
      <c r="T125" s="7">
        <f t="shared" si="275"/>
        <v>0.94794984047915276</v>
      </c>
      <c r="U125" s="3">
        <v>6616.36</v>
      </c>
      <c r="V125" s="26">
        <v>6979.652</v>
      </c>
      <c r="W125" s="63">
        <f t="shared" si="276"/>
        <v>9424.6589999999997</v>
      </c>
      <c r="X125" s="7">
        <f t="shared" ref="X125:X130" si="285">W125/Y125</f>
        <v>0.38962644985040895</v>
      </c>
      <c r="Y125" s="24">
        <f t="shared" si="277"/>
        <v>24188.961000000003</v>
      </c>
      <c r="Z125" s="25">
        <f t="shared" si="264"/>
        <v>5.7822965354406585E-4</v>
      </c>
      <c r="AA125" s="51">
        <f>12/31</f>
        <v>0.38709677419354838</v>
      </c>
      <c r="AB125" s="51">
        <v>669.45161290322585</v>
      </c>
      <c r="AC125" s="39">
        <f t="shared" si="265"/>
        <v>0.39287689414887733</v>
      </c>
      <c r="AD125" s="51">
        <v>114.58064516129032</v>
      </c>
      <c r="AE125" s="137">
        <v>291.64516129032256</v>
      </c>
      <c r="AF125" s="7">
        <f t="shared" si="266"/>
        <v>0.65255091752369432</v>
      </c>
      <c r="AG125" s="51">
        <v>208.7741935483871</v>
      </c>
      <c r="AH125" s="104">
        <v>319.93548387096774</v>
      </c>
      <c r="AI125" s="63">
        <f t="shared" si="278"/>
        <v>323.74193548387098</v>
      </c>
      <c r="AJ125" s="7">
        <f t="shared" ref="AJ125:AJ130" si="286">AI125/AK125</f>
        <v>0.25271958098307817</v>
      </c>
      <c r="AK125" s="26">
        <f t="shared" si="279"/>
        <v>1281.0322580645161</v>
      </c>
      <c r="AL125" s="93">
        <f t="shared" si="280"/>
        <v>11440.400935483871</v>
      </c>
      <c r="AM125" s="7">
        <f t="shared" ref="AM125:AM130" si="287">AL125/AN125</f>
        <v>0.37698985693850662</v>
      </c>
      <c r="AN125" s="3">
        <f t="shared" si="281"/>
        <v>30346.707543778804</v>
      </c>
      <c r="AO125" s="7">
        <f t="shared" si="282"/>
        <v>1.4713403532720647E-2</v>
      </c>
      <c r="AP125" s="7">
        <f t="shared" si="237"/>
        <v>0.45515141241762525</v>
      </c>
      <c r="AQ125" s="94">
        <f t="shared" si="238"/>
        <v>0.91836428024071293</v>
      </c>
    </row>
    <row r="126" spans="1:43" s="15" customFormat="1" x14ac:dyDescent="0.15">
      <c r="A126" s="147">
        <v>39995</v>
      </c>
      <c r="B126" s="25">
        <f t="shared" ref="B126:B131" si="288">C126/D126</f>
        <v>1.3955174288648583E-2</v>
      </c>
      <c r="C126" s="51">
        <v>33</v>
      </c>
      <c r="D126" s="3">
        <v>2364.7142857142858</v>
      </c>
      <c r="E126" s="39">
        <f t="shared" ref="E126:E131" si="289">F126/G126</f>
        <v>0.45586481113320076</v>
      </c>
      <c r="F126" s="51">
        <v>655.14285714285711</v>
      </c>
      <c r="G126" s="40">
        <v>1437.1428571428571</v>
      </c>
      <c r="H126" s="7">
        <f t="shared" ref="H126:H131" si="290">I126/J126</f>
        <v>0.92054597701149421</v>
      </c>
      <c r="I126" s="51">
        <v>915.28571428571433</v>
      </c>
      <c r="J126" s="26">
        <v>994.28571428571433</v>
      </c>
      <c r="K126" s="63">
        <f t="shared" ref="K126:K131" si="291">SUM(C126+F126+I126)</f>
        <v>1603.4285714285716</v>
      </c>
      <c r="L126" s="7">
        <f t="shared" si="283"/>
        <v>0.33431626604712122</v>
      </c>
      <c r="M126" s="26">
        <f t="shared" si="284"/>
        <v>4796.1428571428569</v>
      </c>
      <c r="N126" s="25">
        <f t="shared" ref="N126:N131" si="292">O126/P126</f>
        <v>1.5115301297027438E-2</v>
      </c>
      <c r="O126" s="11">
        <v>192.05</v>
      </c>
      <c r="P126" s="3">
        <v>12705.668</v>
      </c>
      <c r="Q126" s="39">
        <f t="shared" ref="Q126:Q131" si="293">R126/S126</f>
        <v>0.46775440672529439</v>
      </c>
      <c r="R126" s="3">
        <v>2983.5929999999998</v>
      </c>
      <c r="S126" s="40">
        <v>6378.5460000000003</v>
      </c>
      <c r="T126" s="7">
        <f t="shared" ref="T126:T131" si="294">U126/V126</f>
        <v>0.94915040437791254</v>
      </c>
      <c r="U126" s="3">
        <v>6681.7359999999999</v>
      </c>
      <c r="V126" s="26">
        <v>7039.7020000000002</v>
      </c>
      <c r="W126" s="63">
        <f t="shared" ref="W126:W131" si="295">+U126+O126+R126</f>
        <v>9857.3790000000008</v>
      </c>
      <c r="X126" s="7">
        <f t="shared" si="285"/>
        <v>0.37733159913697478</v>
      </c>
      <c r="Y126" s="24">
        <f t="shared" ref="Y126:Y131" si="296">+V126+S126+P126</f>
        <v>26123.915999999997</v>
      </c>
      <c r="Z126" s="25">
        <f t="shared" ref="Z126:Z131" si="297">AA126/AB126</f>
        <v>5.5591587139812838E-4</v>
      </c>
      <c r="AA126" s="51">
        <v>0.38709677419354838</v>
      </c>
      <c r="AB126" s="51">
        <v>696.32258064516134</v>
      </c>
      <c r="AC126" s="39">
        <f t="shared" ref="AC126:AC131" si="298">AD126/AE126</f>
        <v>0.41157670454545453</v>
      </c>
      <c r="AD126" s="51">
        <v>112.16129032258064</v>
      </c>
      <c r="AE126" s="137">
        <v>272.51612903225805</v>
      </c>
      <c r="AF126" s="7">
        <f t="shared" ref="AF126:AF131" si="299">AG126/AH126</f>
        <v>0.80564445737561818</v>
      </c>
      <c r="AG126" s="51">
        <f>8307/31</f>
        <v>267.96774193548384</v>
      </c>
      <c r="AH126" s="104">
        <v>332.61290322580646</v>
      </c>
      <c r="AI126" s="63">
        <f t="shared" ref="AI126:AI131" si="300">AG126+AD126+AA126</f>
        <v>380.51612903225805</v>
      </c>
      <c r="AJ126" s="7">
        <f t="shared" si="286"/>
        <v>0.29237823769983889</v>
      </c>
      <c r="AK126" s="26">
        <f t="shared" ref="AK126:AK131" si="301">+AH126+AE126+AB126</f>
        <v>1301.4516129032259</v>
      </c>
      <c r="AL126" s="93">
        <f t="shared" ref="AL126:AL131" si="302">+AI126+W126+K126</f>
        <v>11841.323700460831</v>
      </c>
      <c r="AM126" s="7">
        <f t="shared" si="287"/>
        <v>0.36749747382168257</v>
      </c>
      <c r="AN126" s="3">
        <f t="shared" ref="AN126:AN131" si="303">+AK126+Y126+M126</f>
        <v>32221.51047004608</v>
      </c>
      <c r="AO126" s="7">
        <f t="shared" ref="AO126:AO131" si="304">(+AA126+O126+C126)/(D126+P126+AB126)</f>
        <v>1.4298301305505903E-2</v>
      </c>
      <c r="AP126" s="7">
        <f t="shared" si="237"/>
        <v>0.46374902143018309</v>
      </c>
      <c r="AQ126" s="94">
        <f t="shared" si="238"/>
        <v>0.9400460014500468</v>
      </c>
    </row>
    <row r="127" spans="1:43" s="15" customFormat="1" x14ac:dyDescent="0.15">
      <c r="A127" s="147">
        <v>39965</v>
      </c>
      <c r="B127" s="25">
        <f t="shared" si="288"/>
        <v>1.3649189579368726E-2</v>
      </c>
      <c r="C127" s="51">
        <v>29.714285714285715</v>
      </c>
      <c r="D127" s="3">
        <v>2177</v>
      </c>
      <c r="E127" s="39">
        <f t="shared" si="289"/>
        <v>0.45414534288638692</v>
      </c>
      <c r="F127" s="51">
        <v>633.85714285714289</v>
      </c>
      <c r="G127" s="40">
        <v>1395.7142857142858</v>
      </c>
      <c r="H127" s="7">
        <f t="shared" si="290"/>
        <v>0.91076044075635976</v>
      </c>
      <c r="I127" s="51">
        <v>956.42857142857144</v>
      </c>
      <c r="J127" s="26">
        <v>1050.1428571428571</v>
      </c>
      <c r="K127" s="63">
        <f t="shared" si="291"/>
        <v>1620</v>
      </c>
      <c r="L127" s="7">
        <f t="shared" si="283"/>
        <v>0.35043263288009885</v>
      </c>
      <c r="M127" s="26">
        <f t="shared" si="284"/>
        <v>4622.8571428571431</v>
      </c>
      <c r="N127" s="25">
        <f t="shared" si="292"/>
        <v>1.5194472680746956E-2</v>
      </c>
      <c r="O127" s="11">
        <v>168.73</v>
      </c>
      <c r="P127" s="3">
        <v>11104.696</v>
      </c>
      <c r="Q127" s="39">
        <f t="shared" si="293"/>
        <v>0.4726162036825946</v>
      </c>
      <c r="R127" s="3">
        <v>2767.5540000000001</v>
      </c>
      <c r="S127" s="40">
        <v>5855.817</v>
      </c>
      <c r="T127" s="7">
        <f t="shared" si="294"/>
        <v>0.95334736672015874</v>
      </c>
      <c r="U127" s="3">
        <v>6277.576</v>
      </c>
      <c r="V127" s="26">
        <v>6584.7730000000001</v>
      </c>
      <c r="W127" s="63">
        <f t="shared" si="295"/>
        <v>9213.86</v>
      </c>
      <c r="X127" s="7">
        <f t="shared" si="285"/>
        <v>0.39132504060473083</v>
      </c>
      <c r="Y127" s="24">
        <f t="shared" si="296"/>
        <v>23545.286</v>
      </c>
      <c r="Z127" s="25">
        <f t="shared" si="297"/>
        <v>6.3599745601017603E-4</v>
      </c>
      <c r="AA127" s="51">
        <v>0.4</v>
      </c>
      <c r="AB127" s="51">
        <v>628.93333333333328</v>
      </c>
      <c r="AC127" s="39">
        <f t="shared" si="298"/>
        <v>0.39791026429010445</v>
      </c>
      <c r="AD127" s="51">
        <v>107.9</v>
      </c>
      <c r="AE127" s="137">
        <v>271.16666666666669</v>
      </c>
      <c r="AF127" s="7">
        <f t="shared" si="299"/>
        <v>0.74694969079057327</v>
      </c>
      <c r="AG127" s="51">
        <v>297.93333333333334</v>
      </c>
      <c r="AH127" s="104">
        <v>398.86666666666667</v>
      </c>
      <c r="AI127" s="63">
        <f t="shared" si="300"/>
        <v>406.23333333333335</v>
      </c>
      <c r="AJ127" s="7">
        <f t="shared" si="286"/>
        <v>0.3127357643254895</v>
      </c>
      <c r="AK127" s="26">
        <f t="shared" si="301"/>
        <v>1298.9666666666667</v>
      </c>
      <c r="AL127" s="93">
        <f t="shared" si="302"/>
        <v>11240.093333333334</v>
      </c>
      <c r="AM127" s="7">
        <f t="shared" si="287"/>
        <v>0.38144539474653599</v>
      </c>
      <c r="AN127" s="3">
        <f t="shared" si="303"/>
        <v>29467.109809523812</v>
      </c>
      <c r="AO127" s="7">
        <f t="shared" si="304"/>
        <v>1.4294413354671544E-2</v>
      </c>
      <c r="AP127" s="7">
        <f t="shared" si="237"/>
        <v>0.46649635078681279</v>
      </c>
      <c r="AQ127" s="94">
        <f t="shared" si="238"/>
        <v>0.93753320835356024</v>
      </c>
    </row>
    <row r="128" spans="1:43" s="15" customFormat="1" x14ac:dyDescent="0.15">
      <c r="A128" s="147">
        <v>39934</v>
      </c>
      <c r="B128" s="25">
        <f t="shared" si="288"/>
        <v>8.9197224975222991E-3</v>
      </c>
      <c r="C128" s="51">
        <v>18</v>
      </c>
      <c r="D128" s="3">
        <v>2018</v>
      </c>
      <c r="E128" s="39">
        <f t="shared" si="289"/>
        <v>0.4445357436318817</v>
      </c>
      <c r="F128" s="51">
        <v>541</v>
      </c>
      <c r="G128" s="40">
        <v>1217</v>
      </c>
      <c r="H128" s="7">
        <f t="shared" si="290"/>
        <v>0.91044776119402981</v>
      </c>
      <c r="I128" s="51">
        <v>854</v>
      </c>
      <c r="J128" s="26">
        <v>938</v>
      </c>
      <c r="K128" s="63">
        <f t="shared" si="291"/>
        <v>1413</v>
      </c>
      <c r="L128" s="7">
        <f t="shared" si="283"/>
        <v>0.33860531991373111</v>
      </c>
      <c r="M128" s="26">
        <f t="shared" si="284"/>
        <v>4173</v>
      </c>
      <c r="N128" s="25">
        <f t="shared" si="292"/>
        <v>1.3229571984435798E-2</v>
      </c>
      <c r="O128" s="11">
        <v>136</v>
      </c>
      <c r="P128" s="3">
        <v>10280</v>
      </c>
      <c r="Q128" s="39">
        <f t="shared" si="293"/>
        <v>0.47222759821946969</v>
      </c>
      <c r="R128" s="3">
        <v>2440</v>
      </c>
      <c r="S128" s="40">
        <v>5167</v>
      </c>
      <c r="T128" s="7">
        <f t="shared" si="294"/>
        <v>0.94771653543307088</v>
      </c>
      <c r="U128" s="3">
        <v>6018</v>
      </c>
      <c r="V128" s="26">
        <v>6350</v>
      </c>
      <c r="W128" s="63">
        <f t="shared" si="295"/>
        <v>8594</v>
      </c>
      <c r="X128" s="7">
        <f t="shared" si="285"/>
        <v>0.394274441436895</v>
      </c>
      <c r="Y128" s="24">
        <f t="shared" si="296"/>
        <v>21797</v>
      </c>
      <c r="Z128" s="25">
        <f t="shared" si="297"/>
        <v>5.4942310573897406E-4</v>
      </c>
      <c r="AA128" s="51">
        <v>0.35483870967741937</v>
      </c>
      <c r="AB128" s="51">
        <f>20021/31</f>
        <v>645.83870967741939</v>
      </c>
      <c r="AC128" s="39">
        <f t="shared" si="298"/>
        <v>0.39746213671715108</v>
      </c>
      <c r="AD128" s="51">
        <v>93.967741935483872</v>
      </c>
      <c r="AE128" s="137">
        <v>236.41935483870967</v>
      </c>
      <c r="AF128" s="7">
        <f t="shared" si="299"/>
        <v>0.72258576244299022</v>
      </c>
      <c r="AG128" s="51">
        <v>235.09677419354838</v>
      </c>
      <c r="AH128" s="104">
        <v>325.35483870967744</v>
      </c>
      <c r="AI128" s="63">
        <f t="shared" si="300"/>
        <v>329.41935483870969</v>
      </c>
      <c r="AJ128" s="7">
        <f t="shared" si="286"/>
        <v>0.27278555401218085</v>
      </c>
      <c r="AK128" s="26">
        <f t="shared" si="301"/>
        <v>1207.6129032258063</v>
      </c>
      <c r="AL128" s="93">
        <f t="shared" si="302"/>
        <v>10336.41935483871</v>
      </c>
      <c r="AM128" s="7">
        <f t="shared" si="287"/>
        <v>0.38032844869947513</v>
      </c>
      <c r="AN128" s="3">
        <f t="shared" si="303"/>
        <v>27177.612903225807</v>
      </c>
      <c r="AO128" s="7">
        <f t="shared" si="304"/>
        <v>1.1924966168983125E-2</v>
      </c>
      <c r="AP128" s="7">
        <f t="shared" si="237"/>
        <v>0.46446721531137786</v>
      </c>
      <c r="AQ128" s="94">
        <f t="shared" si="238"/>
        <v>0.93350394468124775</v>
      </c>
    </row>
    <row r="129" spans="1:43" s="15" customFormat="1" x14ac:dyDescent="0.15">
      <c r="A129" s="147">
        <v>39904</v>
      </c>
      <c r="B129" s="25">
        <f t="shared" si="288"/>
        <v>8.531468531468531E-3</v>
      </c>
      <c r="C129" s="51">
        <v>17.428571428571427</v>
      </c>
      <c r="D129" s="3">
        <v>2042.8571428571429</v>
      </c>
      <c r="E129" s="39">
        <f t="shared" si="289"/>
        <v>0.44165527525786002</v>
      </c>
      <c r="F129" s="51">
        <v>507.71428571428572</v>
      </c>
      <c r="G129" s="40">
        <v>1149.5714285714287</v>
      </c>
      <c r="H129" s="7">
        <f t="shared" si="290"/>
        <v>0.90048279084254779</v>
      </c>
      <c r="I129" s="13">
        <v>826</v>
      </c>
      <c r="J129" s="26">
        <v>917.28571428571433</v>
      </c>
      <c r="K129" s="63">
        <f t="shared" si="291"/>
        <v>1351.1428571428571</v>
      </c>
      <c r="L129" s="7">
        <f t="shared" si="283"/>
        <v>0.32876807563959953</v>
      </c>
      <c r="M129" s="26">
        <f t="shared" si="284"/>
        <v>4109.7142857142862</v>
      </c>
      <c r="N129" s="25">
        <f t="shared" si="292"/>
        <v>1.2796061673336249E-2</v>
      </c>
      <c r="O129" s="11">
        <v>127.23</v>
      </c>
      <c r="P129" s="3">
        <v>9942.9030000000002</v>
      </c>
      <c r="Q129" s="39">
        <f t="shared" si="293"/>
        <v>0.4809917355371901</v>
      </c>
      <c r="R129" s="3">
        <v>2328</v>
      </c>
      <c r="S129" s="40">
        <v>4840</v>
      </c>
      <c r="T129" s="7">
        <f t="shared" si="294"/>
        <v>0.94643992371265095</v>
      </c>
      <c r="U129" s="3">
        <v>5955</v>
      </c>
      <c r="V129" s="26">
        <v>6292</v>
      </c>
      <c r="W129" s="63">
        <f t="shared" si="295"/>
        <v>8410.23</v>
      </c>
      <c r="X129" s="7">
        <f t="shared" si="285"/>
        <v>0.39906375844292141</v>
      </c>
      <c r="Y129" s="24">
        <f t="shared" si="296"/>
        <v>21074.902999999998</v>
      </c>
      <c r="Z129" s="25">
        <f t="shared" si="297"/>
        <v>8.0540516354199302E-4</v>
      </c>
      <c r="AA129" s="51">
        <v>0.58064516129032262</v>
      </c>
      <c r="AB129" s="51">
        <v>720.93548387096769</v>
      </c>
      <c r="AC129" s="39">
        <f t="shared" si="298"/>
        <v>0.32758620689655171</v>
      </c>
      <c r="AD129" s="51">
        <v>80.903225806451616</v>
      </c>
      <c r="AE129" s="137">
        <v>246.96774193548387</v>
      </c>
      <c r="AF129" s="7">
        <f t="shared" si="299"/>
        <v>0.71755110260799515</v>
      </c>
      <c r="AG129" s="51">
        <f>7126/31</f>
        <v>229.87096774193549</v>
      </c>
      <c r="AH129" s="104">
        <v>320.35483870967744</v>
      </c>
      <c r="AI129" s="63">
        <f t="shared" si="300"/>
        <v>311.35483870967738</v>
      </c>
      <c r="AJ129" s="7">
        <f t="shared" si="286"/>
        <v>0.24168669871794868</v>
      </c>
      <c r="AK129" s="26">
        <f t="shared" si="301"/>
        <v>1288.258064516129</v>
      </c>
      <c r="AL129" s="93">
        <f t="shared" si="302"/>
        <v>10072.727695852534</v>
      </c>
      <c r="AM129" s="7">
        <f t="shared" si="287"/>
        <v>0.38049239316064182</v>
      </c>
      <c r="AN129" s="3">
        <f t="shared" si="303"/>
        <v>26472.875350230413</v>
      </c>
      <c r="AO129" s="7">
        <f t="shared" si="304"/>
        <v>1.143013265261158E-2</v>
      </c>
      <c r="AP129" s="7">
        <f t="shared" si="237"/>
        <v>0.46766602947250818</v>
      </c>
      <c r="AQ129" s="94">
        <f t="shared" si="238"/>
        <v>0.93110300795871559</v>
      </c>
    </row>
    <row r="130" spans="1:43" s="15" customFormat="1" x14ac:dyDescent="0.15">
      <c r="A130" s="147">
        <v>39873</v>
      </c>
      <c r="B130" s="25">
        <f t="shared" si="288"/>
        <v>8.0213903743315516E-3</v>
      </c>
      <c r="C130" s="51">
        <v>18</v>
      </c>
      <c r="D130" s="3">
        <v>2244</v>
      </c>
      <c r="E130" s="39">
        <f t="shared" si="289"/>
        <v>0.44003451251078518</v>
      </c>
      <c r="F130" s="51">
        <v>510</v>
      </c>
      <c r="G130" s="40">
        <v>1159</v>
      </c>
      <c r="H130" s="7">
        <f t="shared" si="290"/>
        <v>0.90738813735691992</v>
      </c>
      <c r="I130" s="13">
        <v>872</v>
      </c>
      <c r="J130" s="26">
        <v>961</v>
      </c>
      <c r="K130" s="63">
        <f t="shared" si="291"/>
        <v>1400</v>
      </c>
      <c r="L130" s="7">
        <f t="shared" si="283"/>
        <v>0.3208065994500458</v>
      </c>
      <c r="M130" s="26">
        <f t="shared" si="284"/>
        <v>4364</v>
      </c>
      <c r="N130" s="25">
        <f t="shared" si="292"/>
        <v>1.1684952279011685E-2</v>
      </c>
      <c r="O130" s="11">
        <v>131</v>
      </c>
      <c r="P130" s="3">
        <v>11211</v>
      </c>
      <c r="Q130" s="39">
        <f t="shared" si="293"/>
        <v>0.47399845916795069</v>
      </c>
      <c r="R130" s="3">
        <v>2461</v>
      </c>
      <c r="S130" s="40">
        <v>5192</v>
      </c>
      <c r="T130" s="7">
        <f t="shared" si="294"/>
        <v>0.93939393939393945</v>
      </c>
      <c r="U130" s="3">
        <v>5146</v>
      </c>
      <c r="V130" s="26">
        <v>5478</v>
      </c>
      <c r="W130" s="63">
        <f t="shared" si="295"/>
        <v>7738</v>
      </c>
      <c r="X130" s="7">
        <f t="shared" si="285"/>
        <v>0.35364014441753117</v>
      </c>
      <c r="Y130" s="24">
        <f t="shared" si="296"/>
        <v>21881</v>
      </c>
      <c r="Z130" s="25">
        <f t="shared" si="297"/>
        <v>4.3981298042634126E-3</v>
      </c>
      <c r="AA130" s="51">
        <v>3.5806451612903225</v>
      </c>
      <c r="AB130" s="51">
        <v>814.12903225806451</v>
      </c>
      <c r="AC130" s="39">
        <f t="shared" si="298"/>
        <v>0.23935985155978196</v>
      </c>
      <c r="AD130" s="51">
        <v>66.58064516129032</v>
      </c>
      <c r="AE130" s="137">
        <v>278.16129032258067</v>
      </c>
      <c r="AF130" s="7">
        <f t="shared" si="299"/>
        <v>0.86647837943124262</v>
      </c>
      <c r="AG130" s="51">
        <v>287</v>
      </c>
      <c r="AH130" s="104">
        <v>331.22580645161293</v>
      </c>
      <c r="AI130" s="63">
        <f t="shared" si="300"/>
        <v>357.16129032258061</v>
      </c>
      <c r="AJ130" s="7">
        <f t="shared" si="286"/>
        <v>0.25090076820231594</v>
      </c>
      <c r="AK130" s="26">
        <f t="shared" si="301"/>
        <v>1423.516129032258</v>
      </c>
      <c r="AL130" s="93">
        <f t="shared" si="302"/>
        <v>9495.1612903225796</v>
      </c>
      <c r="AM130" s="7">
        <f t="shared" si="287"/>
        <v>0.34317566023569351</v>
      </c>
      <c r="AN130" s="3">
        <f t="shared" si="303"/>
        <v>27668.516129032258</v>
      </c>
      <c r="AO130" s="7">
        <f t="shared" si="304"/>
        <v>1.0693059458384106E-2</v>
      </c>
      <c r="AP130" s="7">
        <f t="shared" si="237"/>
        <v>0.45821492525692931</v>
      </c>
      <c r="AQ130" s="94">
        <f t="shared" si="238"/>
        <v>0.93128356132401358</v>
      </c>
    </row>
    <row r="131" spans="1:43" s="15" customFormat="1" x14ac:dyDescent="0.15">
      <c r="A131" s="147">
        <v>39845</v>
      </c>
      <c r="B131" s="25">
        <f t="shared" si="288"/>
        <v>7.5535039865715489E-3</v>
      </c>
      <c r="C131" s="51">
        <v>18</v>
      </c>
      <c r="D131" s="3">
        <v>2383</v>
      </c>
      <c r="E131" s="39">
        <f t="shared" si="289"/>
        <v>0.419175911251981</v>
      </c>
      <c r="F131" s="51">
        <v>529</v>
      </c>
      <c r="G131" s="40">
        <v>1262</v>
      </c>
      <c r="H131" s="7">
        <f t="shared" si="290"/>
        <v>0.90966386554621848</v>
      </c>
      <c r="I131" s="13">
        <v>866</v>
      </c>
      <c r="J131" s="26">
        <v>952</v>
      </c>
      <c r="K131" s="63">
        <f t="shared" si="291"/>
        <v>1413</v>
      </c>
      <c r="L131" s="7">
        <f t="shared" ref="L131:L150" si="305">K131/M131</f>
        <v>0.3073743745921253</v>
      </c>
      <c r="M131" s="26">
        <f t="shared" ref="M131:M136" si="306">SUM(J131+G131+D131)</f>
        <v>4597</v>
      </c>
      <c r="N131" s="25">
        <f t="shared" si="292"/>
        <v>1.1215864759427829E-2</v>
      </c>
      <c r="O131" s="11">
        <v>138</v>
      </c>
      <c r="P131" s="3">
        <v>12304</v>
      </c>
      <c r="Q131" s="39">
        <f t="shared" si="293"/>
        <v>0.45808966861598438</v>
      </c>
      <c r="R131" s="3">
        <v>2350</v>
      </c>
      <c r="S131" s="40">
        <v>5130</v>
      </c>
      <c r="T131" s="7">
        <f t="shared" si="294"/>
        <v>0.94268374915711395</v>
      </c>
      <c r="U131" s="3">
        <v>5592</v>
      </c>
      <c r="V131" s="26">
        <v>5932</v>
      </c>
      <c r="W131" s="63">
        <f t="shared" si="295"/>
        <v>8080</v>
      </c>
      <c r="X131" s="7">
        <f t="shared" ref="X131:X154" si="307">W131/Y131</f>
        <v>0.34580159205683469</v>
      </c>
      <c r="Y131" s="24">
        <f t="shared" si="296"/>
        <v>23366</v>
      </c>
      <c r="Z131" s="25">
        <f t="shared" si="297"/>
        <v>2.9682741605951968E-3</v>
      </c>
      <c r="AA131" s="51">
        <v>2.4838709677419355</v>
      </c>
      <c r="AB131" s="51">
        <v>836.80645161290317</v>
      </c>
      <c r="AC131" s="39">
        <f t="shared" si="298"/>
        <v>0.24529027297193387</v>
      </c>
      <c r="AD131" s="51">
        <v>61.741935483870968</v>
      </c>
      <c r="AE131" s="137">
        <v>251.70967741935485</v>
      </c>
      <c r="AF131" s="7">
        <f t="shared" si="299"/>
        <v>0.89544848600266624</v>
      </c>
      <c r="AG131" s="51">
        <v>303.35483870967744</v>
      </c>
      <c r="AH131" s="104">
        <v>338.77419354838707</v>
      </c>
      <c r="AI131" s="63">
        <f t="shared" si="300"/>
        <v>367.58064516129036</v>
      </c>
      <c r="AJ131" s="7">
        <f t="shared" ref="AJ131:AJ151" si="308">AI131/AK131</f>
        <v>0.25753740451114226</v>
      </c>
      <c r="AK131" s="26">
        <f t="shared" si="301"/>
        <v>1427.2903225806451</v>
      </c>
      <c r="AL131" s="93">
        <f t="shared" si="302"/>
        <v>9860.5806451612898</v>
      </c>
      <c r="AM131" s="7">
        <f t="shared" ref="AM131:AM151" si="309">AL131/AN131</f>
        <v>0.33550470366008522</v>
      </c>
      <c r="AN131" s="3">
        <f t="shared" si="303"/>
        <v>29390.290322580644</v>
      </c>
      <c r="AO131" s="7">
        <f t="shared" si="304"/>
        <v>1.0209085733046849E-2</v>
      </c>
      <c r="AP131" s="7">
        <f t="shared" si="237"/>
        <v>0.44263552717826704</v>
      </c>
      <c r="AQ131" s="94">
        <f t="shared" si="238"/>
        <v>0.93611604869900755</v>
      </c>
    </row>
    <row r="132" spans="1:43" s="15" customFormat="1" x14ac:dyDescent="0.15">
      <c r="A132" s="147">
        <v>39814</v>
      </c>
      <c r="B132" s="25">
        <f t="shared" ref="B132:B150" si="310">C132/D132</f>
        <v>7.2713356295445852E-3</v>
      </c>
      <c r="C132" s="51">
        <v>19</v>
      </c>
      <c r="D132" s="3">
        <v>2613</v>
      </c>
      <c r="E132" s="39">
        <f t="shared" ref="E132:E150" si="311">F132/G132</f>
        <v>0.4565718677940046</v>
      </c>
      <c r="F132" s="51">
        <v>594</v>
      </c>
      <c r="G132" s="40">
        <v>1301</v>
      </c>
      <c r="H132" s="7">
        <f t="shared" ref="H132:H150" si="312">I132/J132</f>
        <v>0.93985637342908435</v>
      </c>
      <c r="I132" s="13">
        <v>1047</v>
      </c>
      <c r="J132" s="26">
        <v>1114</v>
      </c>
      <c r="K132" s="63">
        <f t="shared" ref="K132:K137" si="313">SUM(C132+F132+I132)</f>
        <v>1660</v>
      </c>
      <c r="L132" s="7">
        <f t="shared" si="305"/>
        <v>0.33015115354017505</v>
      </c>
      <c r="M132" s="26">
        <f t="shared" si="306"/>
        <v>5028</v>
      </c>
      <c r="N132" s="25">
        <f t="shared" ref="N132:N151" si="314">O132/P132</f>
        <v>1.1060600913835629E-2</v>
      </c>
      <c r="O132" s="11">
        <v>155.96799999999999</v>
      </c>
      <c r="P132" s="3">
        <v>14101.223</v>
      </c>
      <c r="Q132" s="39">
        <f t="shared" ref="Q132:Q151" si="315">R132/S132</f>
        <v>0.44767371395814337</v>
      </c>
      <c r="R132" s="3">
        <v>2515.4110000000001</v>
      </c>
      <c r="S132" s="40">
        <v>5618.8490000000002</v>
      </c>
      <c r="T132" s="7">
        <f t="shared" ref="T132:T151" si="316">U132/V132</f>
        <v>0.93287812130567682</v>
      </c>
      <c r="U132" s="3">
        <v>5574.3050000000003</v>
      </c>
      <c r="V132" s="26">
        <v>5975.384</v>
      </c>
      <c r="W132" s="63">
        <f t="shared" ref="W132:W151" si="317">+U132+O132+R132</f>
        <v>8245.6840000000011</v>
      </c>
      <c r="X132" s="7">
        <f t="shared" si="307"/>
        <v>0.3209004736090304</v>
      </c>
      <c r="Y132" s="24">
        <f t="shared" ref="Y132:Y151" si="318">+V132+S132+P132</f>
        <v>25695.455999999998</v>
      </c>
      <c r="Z132" s="25">
        <f t="shared" ref="Z132:Z151" si="319">AA132/AB132</f>
        <v>3.0120481927710845E-3</v>
      </c>
      <c r="AA132" s="51">
        <v>3</v>
      </c>
      <c r="AB132" s="51">
        <v>996</v>
      </c>
      <c r="AC132" s="39">
        <f t="shared" ref="AC132:AC151" si="320">AD132/AE132</f>
        <v>0.24232081911262798</v>
      </c>
      <c r="AD132" s="51">
        <v>71</v>
      </c>
      <c r="AE132" s="137">
        <v>293</v>
      </c>
      <c r="AF132" s="7">
        <f t="shared" ref="AF132:AF151" si="321">AG132/AH132</f>
        <v>0.69428571428571428</v>
      </c>
      <c r="AG132" s="51">
        <v>243</v>
      </c>
      <c r="AH132" s="104">
        <v>350</v>
      </c>
      <c r="AI132" s="63">
        <f t="shared" ref="AI132:AI151" si="322">AG132+AD132+AA132</f>
        <v>317</v>
      </c>
      <c r="AJ132" s="7">
        <f t="shared" si="308"/>
        <v>0.19341061622940817</v>
      </c>
      <c r="AK132" s="26">
        <f t="shared" ref="AK132:AK151" si="323">+AH132+AE132+AB132</f>
        <v>1639</v>
      </c>
      <c r="AL132" s="93">
        <f t="shared" ref="AL132:AL151" si="324">+AI132+W132+K132</f>
        <v>10222.684000000001</v>
      </c>
      <c r="AM132" s="7">
        <f t="shared" si="309"/>
        <v>0.31588097022055439</v>
      </c>
      <c r="AN132" s="3">
        <f t="shared" ref="AN132:AN151" si="325">+AK132+Y132+M132</f>
        <v>32362.455999999998</v>
      </c>
      <c r="AO132" s="7">
        <f t="shared" ref="AO132:AO166" si="326">(+AA132+O132+C132)/(D132+P132+AB132)</f>
        <v>1.0048885324594728E-2</v>
      </c>
      <c r="AP132" s="7">
        <f t="shared" si="237"/>
        <v>0.44093686142604677</v>
      </c>
      <c r="AQ132" s="94">
        <f t="shared" si="238"/>
        <v>0.92269803521366822</v>
      </c>
    </row>
    <row r="133" spans="1:43" s="15" customFormat="1" x14ac:dyDescent="0.15">
      <c r="A133" s="147">
        <v>39783</v>
      </c>
      <c r="B133" s="39">
        <f t="shared" si="310"/>
        <v>6.8434559452523521E-3</v>
      </c>
      <c r="C133" s="51">
        <v>17.142857142857142</v>
      </c>
      <c r="D133" s="40">
        <v>2505</v>
      </c>
      <c r="E133" s="100">
        <f t="shared" si="311"/>
        <v>0.43461237274862963</v>
      </c>
      <c r="F133" s="51">
        <v>555</v>
      </c>
      <c r="G133" s="12">
        <v>1277</v>
      </c>
      <c r="H133" s="39">
        <f t="shared" si="312"/>
        <v>0.8957617411225659</v>
      </c>
      <c r="I133" s="13">
        <v>782</v>
      </c>
      <c r="J133" s="26">
        <v>873</v>
      </c>
      <c r="K133" s="63">
        <f t="shared" si="313"/>
        <v>1354.1428571428571</v>
      </c>
      <c r="L133" s="7">
        <f t="shared" si="305"/>
        <v>0.2909007211907319</v>
      </c>
      <c r="M133" s="26">
        <f t="shared" si="306"/>
        <v>4655</v>
      </c>
      <c r="N133" s="25">
        <f t="shared" si="314"/>
        <v>1.1029919596740606E-2</v>
      </c>
      <c r="O133" s="11">
        <v>146.84700000000001</v>
      </c>
      <c r="P133" s="3">
        <v>13313.514999999999</v>
      </c>
      <c r="Q133" s="39">
        <f t="shared" si="315"/>
        <v>0.43149632433707458</v>
      </c>
      <c r="R133" s="3">
        <v>2264.683</v>
      </c>
      <c r="S133" s="40">
        <v>5248.4409999999998</v>
      </c>
      <c r="T133" s="7">
        <f t="shared" si="316"/>
        <v>0.92464156798082719</v>
      </c>
      <c r="U133" s="3">
        <v>4699.2179999999998</v>
      </c>
      <c r="V133" s="26">
        <v>5082.2049999999999</v>
      </c>
      <c r="W133" s="63">
        <f t="shared" si="317"/>
        <v>7110.7479999999996</v>
      </c>
      <c r="X133" s="7">
        <f t="shared" si="307"/>
        <v>0.30074012776346765</v>
      </c>
      <c r="Y133" s="24">
        <f t="shared" si="318"/>
        <v>23644.161</v>
      </c>
      <c r="Z133" s="25">
        <f t="shared" si="319"/>
        <v>4.9504950495049506E-3</v>
      </c>
      <c r="AA133" s="51">
        <v>4</v>
      </c>
      <c r="AB133" s="51">
        <v>808</v>
      </c>
      <c r="AC133" s="39">
        <f t="shared" si="320"/>
        <v>0.24210526315789474</v>
      </c>
      <c r="AD133" s="51">
        <v>69</v>
      </c>
      <c r="AE133" s="137">
        <v>285</v>
      </c>
      <c r="AF133" s="7">
        <f t="shared" si="321"/>
        <v>0.71823204419889508</v>
      </c>
      <c r="AG133" s="51">
        <v>260</v>
      </c>
      <c r="AH133" s="103">
        <v>362</v>
      </c>
      <c r="AI133" s="63">
        <f t="shared" si="322"/>
        <v>333</v>
      </c>
      <c r="AJ133" s="7">
        <f t="shared" si="308"/>
        <v>0.22886597938144329</v>
      </c>
      <c r="AK133" s="26">
        <f t="shared" si="323"/>
        <v>1455</v>
      </c>
      <c r="AL133" s="93">
        <f t="shared" si="324"/>
        <v>8797.8908571428565</v>
      </c>
      <c r="AM133" s="7">
        <f t="shared" si="309"/>
        <v>0.29568606747617104</v>
      </c>
      <c r="AN133" s="3">
        <f t="shared" si="325"/>
        <v>29754.161</v>
      </c>
      <c r="AO133" s="7">
        <f t="shared" si="326"/>
        <v>1.010373233012794E-2</v>
      </c>
      <c r="AP133" s="7">
        <f t="shared" si="237"/>
        <v>0.42415505838755524</v>
      </c>
      <c r="AQ133" s="94">
        <f t="shared" si="238"/>
        <v>0.90882249349197941</v>
      </c>
    </row>
    <row r="134" spans="1:43" s="15" customFormat="1" x14ac:dyDescent="0.15">
      <c r="A134" s="147">
        <v>39753</v>
      </c>
      <c r="B134" s="25">
        <f t="shared" si="310"/>
        <v>5.7167985927880386E-3</v>
      </c>
      <c r="C134" s="51">
        <v>13</v>
      </c>
      <c r="D134" s="3">
        <v>2274</v>
      </c>
      <c r="E134" s="39">
        <f t="shared" si="311"/>
        <v>0.4145785876993166</v>
      </c>
      <c r="F134" s="13">
        <v>546</v>
      </c>
      <c r="G134" s="40">
        <v>1317</v>
      </c>
      <c r="H134" s="7">
        <f t="shared" si="312"/>
        <v>0.92540540540540539</v>
      </c>
      <c r="I134" s="13">
        <v>856</v>
      </c>
      <c r="J134" s="26">
        <v>925</v>
      </c>
      <c r="K134" s="63">
        <f t="shared" si="313"/>
        <v>1415</v>
      </c>
      <c r="L134" s="7">
        <f t="shared" si="305"/>
        <v>0.31333038086802478</v>
      </c>
      <c r="M134" s="26">
        <f t="shared" si="306"/>
        <v>4516</v>
      </c>
      <c r="N134" s="25">
        <f t="shared" si="314"/>
        <v>1.1242864609471223E-2</v>
      </c>
      <c r="O134" s="11">
        <v>138.27099999999999</v>
      </c>
      <c r="P134" s="3">
        <v>12298.556</v>
      </c>
      <c r="Q134" s="39">
        <f t="shared" si="315"/>
        <v>0.41624570891266638</v>
      </c>
      <c r="R134" s="3">
        <v>2256.6908431107099</v>
      </c>
      <c r="S134" s="40">
        <v>5421.5353931352893</v>
      </c>
      <c r="T134" s="7">
        <f t="shared" si="316"/>
        <v>0.93698363374527949</v>
      </c>
      <c r="U134" s="3">
        <v>6300.1743792847101</v>
      </c>
      <c r="V134" s="26">
        <v>6723.8894601625698</v>
      </c>
      <c r="W134" s="63">
        <f t="shared" si="317"/>
        <v>8695.1362223954202</v>
      </c>
      <c r="X134" s="7">
        <f t="shared" si="307"/>
        <v>0.35571686439209083</v>
      </c>
      <c r="Y134" s="24">
        <f t="shared" si="318"/>
        <v>24443.98085329786</v>
      </c>
      <c r="Z134" s="25">
        <f t="shared" si="319"/>
        <v>4.7796535847401886E-3</v>
      </c>
      <c r="AA134" s="51">
        <f>109/30</f>
        <v>3.6333333333333333</v>
      </c>
      <c r="AB134" s="51">
        <f>22805/30</f>
        <v>760.16666666666663</v>
      </c>
      <c r="AC134" s="39">
        <f t="shared" si="320"/>
        <v>0.24382249117498742</v>
      </c>
      <c r="AD134" s="51">
        <f>1934/30</f>
        <v>64.466666666666669</v>
      </c>
      <c r="AE134" s="137">
        <f>7932/30</f>
        <v>264.39999999999998</v>
      </c>
      <c r="AF134" s="7">
        <f t="shared" si="321"/>
        <v>0.79642393367295972</v>
      </c>
      <c r="AG134" s="51">
        <f>7973/30</f>
        <v>265.76666666666665</v>
      </c>
      <c r="AH134" s="103">
        <f>10011/30</f>
        <v>333.7</v>
      </c>
      <c r="AI134" s="63">
        <f t="shared" si="322"/>
        <v>333.86666666666667</v>
      </c>
      <c r="AJ134" s="7">
        <f t="shared" si="308"/>
        <v>0.24580347501717881</v>
      </c>
      <c r="AK134" s="26">
        <f t="shared" si="323"/>
        <v>1358.2666666666664</v>
      </c>
      <c r="AL134" s="93">
        <f t="shared" si="324"/>
        <v>10444.002889062087</v>
      </c>
      <c r="AM134" s="7">
        <f t="shared" si="309"/>
        <v>0.34447910889917777</v>
      </c>
      <c r="AN134" s="3">
        <f t="shared" si="325"/>
        <v>30318.247519964527</v>
      </c>
      <c r="AO134" s="7">
        <f t="shared" si="326"/>
        <v>1.0102858879075357E-2</v>
      </c>
      <c r="AP134" s="7">
        <f t="shared" si="237"/>
        <v>0.40942224207693562</v>
      </c>
      <c r="AQ134" s="94">
        <f t="shared" si="238"/>
        <v>0.92976609695273305</v>
      </c>
    </row>
    <row r="135" spans="1:43" s="15" customFormat="1" x14ac:dyDescent="0.15">
      <c r="A135" s="147">
        <v>39722</v>
      </c>
      <c r="B135" s="25">
        <f t="shared" si="310"/>
        <v>5.8596442851233969E-3</v>
      </c>
      <c r="C135" s="51">
        <f>85/7</f>
        <v>12.142857142857142</v>
      </c>
      <c r="D135" s="3">
        <f>14506/7</f>
        <v>2072.2857142857142</v>
      </c>
      <c r="E135" s="39">
        <f t="shared" si="311"/>
        <v>0.40507302075326673</v>
      </c>
      <c r="F135" s="13">
        <v>527</v>
      </c>
      <c r="G135" s="40">
        <v>1301</v>
      </c>
      <c r="H135" s="7">
        <f t="shared" si="312"/>
        <v>0.92532188841201723</v>
      </c>
      <c r="I135" s="13">
        <v>924</v>
      </c>
      <c r="J135" s="26">
        <v>998.57142857142856</v>
      </c>
      <c r="K135" s="63">
        <f t="shared" si="313"/>
        <v>1463.1428571428571</v>
      </c>
      <c r="L135" s="7">
        <f t="shared" si="305"/>
        <v>0.33467307126752277</v>
      </c>
      <c r="M135" s="26">
        <f t="shared" si="306"/>
        <v>4371.8571428571431</v>
      </c>
      <c r="N135" s="25">
        <f t="shared" si="314"/>
        <v>9.6494592373226606E-3</v>
      </c>
      <c r="O135" s="11">
        <v>100.286</v>
      </c>
      <c r="P135" s="3">
        <v>10392.914000000001</v>
      </c>
      <c r="Q135" s="39">
        <f t="shared" si="315"/>
        <v>0.37765577629927966</v>
      </c>
      <c r="R135" s="3">
        <v>2165.2689999999998</v>
      </c>
      <c r="S135" s="40">
        <v>5733.4459999999999</v>
      </c>
      <c r="T135" s="7">
        <f t="shared" si="316"/>
        <v>0.94774283194837627</v>
      </c>
      <c r="U135" s="3">
        <v>9277.4470000000001</v>
      </c>
      <c r="V135" s="26">
        <v>9788.9920000000002</v>
      </c>
      <c r="W135" s="63">
        <f t="shared" si="317"/>
        <v>11543.002</v>
      </c>
      <c r="X135" s="7">
        <f t="shared" si="307"/>
        <v>0.44541173895689323</v>
      </c>
      <c r="Y135" s="24">
        <f t="shared" si="318"/>
        <v>25915.351999999999</v>
      </c>
      <c r="Z135" s="25">
        <f t="shared" si="319"/>
        <v>3.8935124349053388E-3</v>
      </c>
      <c r="AA135" s="51">
        <f>80/30</f>
        <v>2.6666666666666665</v>
      </c>
      <c r="AB135" s="51">
        <f>20547/30</f>
        <v>684.9</v>
      </c>
      <c r="AC135" s="39">
        <f t="shared" si="320"/>
        <v>0.22403153571502279</v>
      </c>
      <c r="AD135" s="51">
        <f>2171/31</f>
        <v>70.032258064516128</v>
      </c>
      <c r="AE135" s="137">
        <f>9378/30</f>
        <v>312.60000000000002</v>
      </c>
      <c r="AF135" s="7">
        <f t="shared" si="321"/>
        <v>0.68964698432800386</v>
      </c>
      <c r="AG135" s="51">
        <f>8713/30</f>
        <v>290.43333333333334</v>
      </c>
      <c r="AH135" s="103">
        <f>12634/30</f>
        <v>421.13333333333333</v>
      </c>
      <c r="AI135" s="63">
        <f t="shared" si="322"/>
        <v>363.13225806451618</v>
      </c>
      <c r="AJ135" s="7">
        <f t="shared" si="308"/>
        <v>0.25597330157981829</v>
      </c>
      <c r="AK135" s="26">
        <f t="shared" si="323"/>
        <v>1418.6333333333332</v>
      </c>
      <c r="AL135" s="93">
        <f t="shared" si="324"/>
        <v>13369.277115207373</v>
      </c>
      <c r="AM135" s="7">
        <f t="shared" si="309"/>
        <v>0.42166604231529381</v>
      </c>
      <c r="AN135" s="3">
        <f t="shared" si="325"/>
        <v>31705.842476190475</v>
      </c>
      <c r="AO135" s="7">
        <f t="shared" si="326"/>
        <v>8.7524449479640734E-3</v>
      </c>
      <c r="AP135" s="7">
        <f t="shared" si="237"/>
        <v>0.37597440632119572</v>
      </c>
      <c r="AQ135" s="94">
        <f t="shared" si="238"/>
        <v>0.93604819152502283</v>
      </c>
    </row>
    <row r="136" spans="1:43" s="15" customFormat="1" x14ac:dyDescent="0.15">
      <c r="A136" s="147">
        <v>39692</v>
      </c>
      <c r="B136" s="25">
        <f t="shared" si="310"/>
        <v>5.5045871559633031E-3</v>
      </c>
      <c r="C136" s="51">
        <v>12</v>
      </c>
      <c r="D136" s="3">
        <v>2180</v>
      </c>
      <c r="E136" s="39">
        <f t="shared" si="311"/>
        <v>0.39563636363636362</v>
      </c>
      <c r="F136" s="13">
        <v>544</v>
      </c>
      <c r="G136" s="40">
        <v>1375</v>
      </c>
      <c r="H136" s="7">
        <f t="shared" si="312"/>
        <v>0.75960752248569097</v>
      </c>
      <c r="I136" s="13">
        <v>929</v>
      </c>
      <c r="J136" s="26">
        <v>1223</v>
      </c>
      <c r="K136" s="63">
        <f t="shared" si="313"/>
        <v>1485</v>
      </c>
      <c r="L136" s="7">
        <f t="shared" si="305"/>
        <v>0.31079949769778148</v>
      </c>
      <c r="M136" s="26">
        <f t="shared" si="306"/>
        <v>4778</v>
      </c>
      <c r="N136" s="25">
        <f t="shared" si="314"/>
        <v>8.5664335664335668E-3</v>
      </c>
      <c r="O136" s="11">
        <v>98</v>
      </c>
      <c r="P136" s="3">
        <v>11440</v>
      </c>
      <c r="Q136" s="39">
        <f t="shared" si="315"/>
        <v>0.36538134873449973</v>
      </c>
      <c r="R136" s="3">
        <v>2151</v>
      </c>
      <c r="S136" s="40">
        <v>5887</v>
      </c>
      <c r="T136" s="7">
        <f t="shared" si="316"/>
        <v>0.92858036272670419</v>
      </c>
      <c r="U136" s="3">
        <v>7424</v>
      </c>
      <c r="V136" s="26">
        <v>7995</v>
      </c>
      <c r="W136" s="63">
        <f t="shared" si="317"/>
        <v>9673</v>
      </c>
      <c r="X136" s="7">
        <f t="shared" si="307"/>
        <v>0.38199984203459442</v>
      </c>
      <c r="Y136" s="24">
        <f t="shared" si="318"/>
        <v>25322</v>
      </c>
      <c r="Z136" s="25">
        <f t="shared" si="319"/>
        <v>4.3795620437956208E-3</v>
      </c>
      <c r="AA136" s="51">
        <v>3</v>
      </c>
      <c r="AB136" s="51">
        <v>685</v>
      </c>
      <c r="AC136" s="39">
        <f t="shared" si="320"/>
        <v>0.2413793103448276</v>
      </c>
      <c r="AD136" s="51">
        <v>70</v>
      </c>
      <c r="AE136" s="137">
        <v>290</v>
      </c>
      <c r="AF136" s="7">
        <f t="shared" si="321"/>
        <v>0.71393643031784837</v>
      </c>
      <c r="AG136" s="51">
        <v>292</v>
      </c>
      <c r="AH136" s="103">
        <v>409</v>
      </c>
      <c r="AI136" s="63">
        <f t="shared" si="322"/>
        <v>365</v>
      </c>
      <c r="AJ136" s="7">
        <f t="shared" si="308"/>
        <v>0.26372832369942195</v>
      </c>
      <c r="AK136" s="26">
        <f t="shared" si="323"/>
        <v>1384</v>
      </c>
      <c r="AL136" s="93">
        <f t="shared" si="324"/>
        <v>11523</v>
      </c>
      <c r="AM136" s="7">
        <f t="shared" si="309"/>
        <v>0.3659954262482531</v>
      </c>
      <c r="AN136" s="3">
        <f t="shared" si="325"/>
        <v>31484</v>
      </c>
      <c r="AO136" s="7">
        <f t="shared" si="326"/>
        <v>7.899335896539671E-3</v>
      </c>
      <c r="AP136" s="7">
        <f t="shared" si="237"/>
        <v>0.3661281779661017</v>
      </c>
      <c r="AQ136" s="94">
        <f t="shared" si="238"/>
        <v>0.89799522177209934</v>
      </c>
    </row>
    <row r="137" spans="1:43" s="15" customFormat="1" x14ac:dyDescent="0.15">
      <c r="A137" s="147">
        <v>39661</v>
      </c>
      <c r="B137" s="25">
        <f t="shared" si="310"/>
        <v>5.5389859394972306E-3</v>
      </c>
      <c r="C137" s="5">
        <v>13</v>
      </c>
      <c r="D137" s="3">
        <v>2347</v>
      </c>
      <c r="E137" s="39">
        <f t="shared" si="311"/>
        <v>0.39795918367346939</v>
      </c>
      <c r="F137" s="13">
        <v>585</v>
      </c>
      <c r="G137" s="40">
        <v>1470</v>
      </c>
      <c r="H137" s="7">
        <f t="shared" si="312"/>
        <v>0.87179487179487181</v>
      </c>
      <c r="I137" s="13">
        <v>918</v>
      </c>
      <c r="J137" s="26">
        <v>1053</v>
      </c>
      <c r="K137" s="63">
        <f t="shared" si="313"/>
        <v>1516</v>
      </c>
      <c r="L137" s="7">
        <f t="shared" si="305"/>
        <v>0.31129363449691994</v>
      </c>
      <c r="M137" s="26">
        <f>J137+G137+D137</f>
        <v>4870</v>
      </c>
      <c r="N137" s="25">
        <f t="shared" si="314"/>
        <v>8.6302454473475843E-3</v>
      </c>
      <c r="O137" s="11">
        <v>109</v>
      </c>
      <c r="P137" s="3">
        <v>12630</v>
      </c>
      <c r="Q137" s="39">
        <f t="shared" si="315"/>
        <v>0.37099725526075022</v>
      </c>
      <c r="R137" s="3">
        <v>2433</v>
      </c>
      <c r="S137" s="40">
        <v>6558</v>
      </c>
      <c r="T137" s="7">
        <f t="shared" si="316"/>
        <v>0.93048385160283342</v>
      </c>
      <c r="U137" s="3">
        <v>7750</v>
      </c>
      <c r="V137" s="26">
        <v>8329</v>
      </c>
      <c r="W137" s="63">
        <f t="shared" si="317"/>
        <v>10292</v>
      </c>
      <c r="X137" s="7">
        <f t="shared" si="307"/>
        <v>0.37402333103172586</v>
      </c>
      <c r="Y137" s="24">
        <f t="shared" si="318"/>
        <v>27517</v>
      </c>
      <c r="Z137" s="25">
        <f t="shared" si="319"/>
        <v>2.7359781121751026E-3</v>
      </c>
      <c r="AA137" s="51">
        <v>2</v>
      </c>
      <c r="AB137" s="51">
        <v>731</v>
      </c>
      <c r="AC137" s="39">
        <f t="shared" si="320"/>
        <v>0.250814332247557</v>
      </c>
      <c r="AD137" s="51">
        <v>77</v>
      </c>
      <c r="AE137" s="137">
        <v>307</v>
      </c>
      <c r="AF137" s="7">
        <f t="shared" si="321"/>
        <v>0.71498771498771496</v>
      </c>
      <c r="AG137" s="51">
        <v>291</v>
      </c>
      <c r="AH137" s="103">
        <v>407</v>
      </c>
      <c r="AI137" s="63">
        <f t="shared" si="322"/>
        <v>370</v>
      </c>
      <c r="AJ137" s="7">
        <f t="shared" si="308"/>
        <v>0.25605536332179929</v>
      </c>
      <c r="AK137" s="26">
        <f t="shared" si="323"/>
        <v>1445</v>
      </c>
      <c r="AL137" s="93">
        <f t="shared" si="324"/>
        <v>12178</v>
      </c>
      <c r="AM137" s="7">
        <f t="shared" si="309"/>
        <v>0.35995507212106881</v>
      </c>
      <c r="AN137" s="3">
        <f t="shared" si="325"/>
        <v>33832</v>
      </c>
      <c r="AO137" s="7">
        <f t="shared" si="326"/>
        <v>7.89406671759613E-3</v>
      </c>
      <c r="AP137" s="7">
        <f t="shared" si="237"/>
        <v>0.37132573485302939</v>
      </c>
      <c r="AQ137" s="94">
        <f t="shared" si="238"/>
        <v>0.91521095106752481</v>
      </c>
    </row>
    <row r="138" spans="1:43" x14ac:dyDescent="0.15">
      <c r="A138" s="147">
        <v>39630</v>
      </c>
      <c r="B138" s="25">
        <f t="shared" si="310"/>
        <v>5.0505050505050509E-3</v>
      </c>
      <c r="C138" s="5">
        <v>11</v>
      </c>
      <c r="D138" s="3">
        <v>2178</v>
      </c>
      <c r="E138" s="39">
        <f t="shared" si="311"/>
        <v>0.40269886363636365</v>
      </c>
      <c r="F138" s="13">
        <v>567</v>
      </c>
      <c r="G138" s="40">
        <v>1408</v>
      </c>
      <c r="H138" s="7">
        <f t="shared" si="312"/>
        <v>0.87361623616236161</v>
      </c>
      <c r="I138" s="13">
        <v>947</v>
      </c>
      <c r="J138" s="26">
        <v>1084</v>
      </c>
      <c r="K138" s="63">
        <v>1525</v>
      </c>
      <c r="L138" s="7">
        <f t="shared" si="305"/>
        <v>0.32655246252676662</v>
      </c>
      <c r="M138" s="26">
        <v>4670</v>
      </c>
      <c r="N138" s="25">
        <f t="shared" si="314"/>
        <v>9.1702279202279195E-3</v>
      </c>
      <c r="O138" s="11">
        <v>103</v>
      </c>
      <c r="P138" s="3">
        <v>11232</v>
      </c>
      <c r="Q138" s="39">
        <f t="shared" si="315"/>
        <v>0.39250486677083918</v>
      </c>
      <c r="R138" s="3">
        <v>2436.0320000000002</v>
      </c>
      <c r="S138" s="40">
        <v>6206.3739999999998</v>
      </c>
      <c r="T138" s="7">
        <f t="shared" si="316"/>
        <v>0.92987335692246609</v>
      </c>
      <c r="U138" s="3">
        <v>7325.732</v>
      </c>
      <c r="V138" s="26">
        <v>7878.2039999999997</v>
      </c>
      <c r="W138" s="63">
        <f t="shared" si="317"/>
        <v>9864.7639999999992</v>
      </c>
      <c r="X138" s="7">
        <f t="shared" si="307"/>
        <v>0.38965629557043607</v>
      </c>
      <c r="Y138" s="24">
        <f t="shared" si="318"/>
        <v>25316.578000000001</v>
      </c>
      <c r="Z138" s="25">
        <f t="shared" si="319"/>
        <v>3.0349013657056147E-3</v>
      </c>
      <c r="AA138" s="51">
        <v>2</v>
      </c>
      <c r="AB138" s="51">
        <v>659</v>
      </c>
      <c r="AC138" s="39">
        <f t="shared" si="320"/>
        <v>0.26353790613718414</v>
      </c>
      <c r="AD138" s="51">
        <v>73</v>
      </c>
      <c r="AE138" s="137">
        <v>277</v>
      </c>
      <c r="AF138" s="7">
        <f t="shared" si="321"/>
        <v>0.7117516629711752</v>
      </c>
      <c r="AG138" s="51">
        <v>321</v>
      </c>
      <c r="AH138" s="103">
        <v>451</v>
      </c>
      <c r="AI138" s="63">
        <f t="shared" si="322"/>
        <v>396</v>
      </c>
      <c r="AJ138" s="7">
        <f t="shared" si="308"/>
        <v>0.28550829127613553</v>
      </c>
      <c r="AK138" s="26">
        <f t="shared" si="323"/>
        <v>1387</v>
      </c>
      <c r="AL138" s="93">
        <f t="shared" si="324"/>
        <v>11785.763999999999</v>
      </c>
      <c r="AM138" s="7">
        <f t="shared" si="309"/>
        <v>0.37565890635744509</v>
      </c>
      <c r="AN138" s="3">
        <f t="shared" si="325"/>
        <v>31373.578000000001</v>
      </c>
      <c r="AO138" s="7">
        <f t="shared" si="326"/>
        <v>8.2450778306915919E-3</v>
      </c>
      <c r="AP138" s="7">
        <f t="shared" si="237"/>
        <v>0.38979675782696399</v>
      </c>
      <c r="AQ138" s="94">
        <f t="shared" si="238"/>
        <v>0.91294441297564577</v>
      </c>
    </row>
    <row r="139" spans="1:43" x14ac:dyDescent="0.15">
      <c r="A139" s="147">
        <v>39600</v>
      </c>
      <c r="B139" s="25">
        <f t="shared" si="310"/>
        <v>5.1229508196721308E-3</v>
      </c>
      <c r="C139" s="11">
        <v>10</v>
      </c>
      <c r="D139" s="3">
        <v>1952</v>
      </c>
      <c r="E139" s="39">
        <f t="shared" si="311"/>
        <v>0.41253051261187956</v>
      </c>
      <c r="F139" s="13">
        <v>507</v>
      </c>
      <c r="G139" s="40">
        <v>1229</v>
      </c>
      <c r="H139" s="7">
        <f t="shared" si="312"/>
        <v>0.91077257889009788</v>
      </c>
      <c r="I139" s="13">
        <v>837</v>
      </c>
      <c r="J139" s="26">
        <v>919</v>
      </c>
      <c r="K139" s="63">
        <f t="shared" ref="K139:K150" si="327">+C139+F139+I139</f>
        <v>1354</v>
      </c>
      <c r="L139" s="7">
        <f t="shared" si="305"/>
        <v>0.33024390243902441</v>
      </c>
      <c r="M139" s="26">
        <f t="shared" ref="M139:M150" si="328">+J139+G139+D139</f>
        <v>4100</v>
      </c>
      <c r="N139" s="25">
        <f t="shared" si="314"/>
        <v>8.779806445176095E-3</v>
      </c>
      <c r="O139" s="3">
        <v>88</v>
      </c>
      <c r="P139" s="3">
        <v>10023</v>
      </c>
      <c r="Q139" s="39">
        <f t="shared" si="315"/>
        <v>0.39853162650602408</v>
      </c>
      <c r="R139" s="3">
        <v>2117</v>
      </c>
      <c r="S139" s="40">
        <v>5312</v>
      </c>
      <c r="T139" s="7">
        <f t="shared" si="316"/>
        <v>0.93109713487071977</v>
      </c>
      <c r="U139" s="3">
        <v>6662</v>
      </c>
      <c r="V139" s="26">
        <v>7155</v>
      </c>
      <c r="W139" s="63">
        <f t="shared" si="317"/>
        <v>8867</v>
      </c>
      <c r="X139" s="7">
        <f t="shared" si="307"/>
        <v>0.39426411738550465</v>
      </c>
      <c r="Y139" s="24">
        <f t="shared" si="318"/>
        <v>22490</v>
      </c>
      <c r="Z139" s="25">
        <f t="shared" si="319"/>
        <v>4.3767932694645725E-3</v>
      </c>
      <c r="AA139" s="51">
        <v>2.903225806451613</v>
      </c>
      <c r="AB139" s="51">
        <v>663.32258064516134</v>
      </c>
      <c r="AC139" s="39">
        <f t="shared" si="320"/>
        <v>0.24764810577167554</v>
      </c>
      <c r="AD139" s="51">
        <v>62.838709677419352</v>
      </c>
      <c r="AE139" s="137">
        <v>253.74193548387098</v>
      </c>
      <c r="AF139" s="7">
        <f t="shared" si="321"/>
        <v>0.69601342845153158</v>
      </c>
      <c r="AG139" s="51">
        <v>267.51612903225805</v>
      </c>
      <c r="AH139" s="103">
        <v>384.35483870967744</v>
      </c>
      <c r="AI139" s="63">
        <f t="shared" si="322"/>
        <v>333.25806451612897</v>
      </c>
      <c r="AJ139" s="7">
        <f t="shared" si="308"/>
        <v>0.2560727741423755</v>
      </c>
      <c r="AK139" s="26">
        <f t="shared" si="323"/>
        <v>1301.4193548387098</v>
      </c>
      <c r="AL139" s="93">
        <f t="shared" si="324"/>
        <v>10554.258064516129</v>
      </c>
      <c r="AM139" s="7">
        <f t="shared" si="309"/>
        <v>0.37840519803755118</v>
      </c>
      <c r="AN139" s="3">
        <f t="shared" si="325"/>
        <v>27891.419354838708</v>
      </c>
      <c r="AO139" s="7">
        <f t="shared" si="326"/>
        <v>7.9839096654313046E-3</v>
      </c>
      <c r="AP139" s="7">
        <f t="shared" si="237"/>
        <v>0.39542910314901941</v>
      </c>
      <c r="AQ139" s="94">
        <f t="shared" si="238"/>
        <v>0.91820646888550728</v>
      </c>
    </row>
    <row r="140" spans="1:43" x14ac:dyDescent="0.15">
      <c r="A140" s="147">
        <v>39569</v>
      </c>
      <c r="B140" s="25">
        <f t="shared" si="310"/>
        <v>4.8169556840077067E-3</v>
      </c>
      <c r="C140" s="11">
        <v>10</v>
      </c>
      <c r="D140" s="3">
        <v>2076</v>
      </c>
      <c r="E140" s="39">
        <f t="shared" si="311"/>
        <v>0.41049913941480204</v>
      </c>
      <c r="F140" s="13">
        <v>477</v>
      </c>
      <c r="G140" s="40">
        <v>1162</v>
      </c>
      <c r="H140" s="7">
        <f t="shared" si="312"/>
        <v>0.91431556948798332</v>
      </c>
      <c r="I140" s="13">
        <v>875</v>
      </c>
      <c r="J140" s="26">
        <v>957</v>
      </c>
      <c r="K140" s="63">
        <f t="shared" si="327"/>
        <v>1362</v>
      </c>
      <c r="L140" s="7">
        <f t="shared" si="305"/>
        <v>0.32467222884386177</v>
      </c>
      <c r="M140" s="26">
        <f t="shared" si="328"/>
        <v>4195</v>
      </c>
      <c r="N140" s="25">
        <f t="shared" si="314"/>
        <v>8.9922783696608343E-3</v>
      </c>
      <c r="O140" s="3">
        <v>92</v>
      </c>
      <c r="P140" s="3">
        <v>10231</v>
      </c>
      <c r="Q140" s="39">
        <f t="shared" si="315"/>
        <v>0.416650226869205</v>
      </c>
      <c r="R140" s="3">
        <v>2112</v>
      </c>
      <c r="S140" s="40">
        <v>5069</v>
      </c>
      <c r="T140" s="7">
        <f t="shared" si="316"/>
        <v>0.92856172755670241</v>
      </c>
      <c r="U140" s="3">
        <v>6837</v>
      </c>
      <c r="V140" s="26">
        <v>7363</v>
      </c>
      <c r="W140" s="63">
        <f t="shared" si="317"/>
        <v>9041</v>
      </c>
      <c r="X140" s="7">
        <f t="shared" si="307"/>
        <v>0.39893218020562149</v>
      </c>
      <c r="Y140" s="24">
        <f t="shared" si="318"/>
        <v>22663</v>
      </c>
      <c r="Z140" s="25">
        <f t="shared" si="319"/>
        <v>4.6726950201185485E-3</v>
      </c>
      <c r="AA140" s="51">
        <v>3.6</v>
      </c>
      <c r="AB140" s="51">
        <v>770.43333333333328</v>
      </c>
      <c r="AC140" s="39">
        <f t="shared" si="320"/>
        <v>0.23614840126922138</v>
      </c>
      <c r="AD140" s="51">
        <v>64.5</v>
      </c>
      <c r="AE140" s="137">
        <v>273.13333333333333</v>
      </c>
      <c r="AF140" s="7">
        <f t="shared" si="321"/>
        <v>0.69269394928445882</v>
      </c>
      <c r="AG140" s="51">
        <v>275.89999999999998</v>
      </c>
      <c r="AH140" s="103">
        <v>398.3</v>
      </c>
      <c r="AI140" s="63">
        <f t="shared" si="322"/>
        <v>344</v>
      </c>
      <c r="AJ140" s="7">
        <f t="shared" si="308"/>
        <v>0.23857961901239133</v>
      </c>
      <c r="AK140" s="26">
        <f t="shared" si="323"/>
        <v>1441.8666666666668</v>
      </c>
      <c r="AL140" s="93">
        <f t="shared" si="324"/>
        <v>10747</v>
      </c>
      <c r="AM140" s="7">
        <f t="shared" si="309"/>
        <v>0.37975443936131614</v>
      </c>
      <c r="AN140" s="3">
        <f t="shared" si="325"/>
        <v>28299.866666666669</v>
      </c>
      <c r="AO140" s="7">
        <f t="shared" si="326"/>
        <v>8.0749790351317668E-3</v>
      </c>
      <c r="AP140" s="7">
        <f t="shared" si="237"/>
        <v>0.40797134130091633</v>
      </c>
      <c r="AQ140" s="94">
        <f t="shared" si="238"/>
        <v>0.91622219928197013</v>
      </c>
    </row>
    <row r="141" spans="1:43" x14ac:dyDescent="0.15">
      <c r="A141" s="147">
        <v>39539</v>
      </c>
      <c r="B141" s="25">
        <f t="shared" si="310"/>
        <v>5.691768826619965E-3</v>
      </c>
      <c r="C141" s="11">
        <v>13</v>
      </c>
      <c r="D141" s="3">
        <v>2284</v>
      </c>
      <c r="E141" s="39">
        <f t="shared" si="311"/>
        <v>0.41451990632318503</v>
      </c>
      <c r="F141" s="13">
        <v>531</v>
      </c>
      <c r="G141" s="40">
        <v>1281</v>
      </c>
      <c r="H141" s="7">
        <f t="shared" si="312"/>
        <v>0.92569002123142252</v>
      </c>
      <c r="I141" s="13">
        <v>872</v>
      </c>
      <c r="J141" s="26">
        <v>942</v>
      </c>
      <c r="K141" s="63">
        <f t="shared" si="327"/>
        <v>1416</v>
      </c>
      <c r="L141" s="7">
        <f t="shared" si="305"/>
        <v>0.31417794541823829</v>
      </c>
      <c r="M141" s="26">
        <f t="shared" si="328"/>
        <v>4507</v>
      </c>
      <c r="N141" s="25">
        <f t="shared" si="314"/>
        <v>9.1727678195741812E-3</v>
      </c>
      <c r="O141" s="3">
        <v>109</v>
      </c>
      <c r="P141" s="3">
        <v>11883</v>
      </c>
      <c r="Q141" s="39">
        <f t="shared" si="315"/>
        <v>0.4169314146888432</v>
      </c>
      <c r="R141" s="3">
        <v>2231</v>
      </c>
      <c r="S141" s="40">
        <v>5351</v>
      </c>
      <c r="T141" s="7">
        <f t="shared" si="316"/>
        <v>0.93506834910620396</v>
      </c>
      <c r="U141" s="3">
        <v>7114</v>
      </c>
      <c r="V141" s="26">
        <v>7608</v>
      </c>
      <c r="W141" s="63">
        <f t="shared" si="317"/>
        <v>9454</v>
      </c>
      <c r="X141" s="7">
        <f t="shared" si="307"/>
        <v>0.38056517188632155</v>
      </c>
      <c r="Y141" s="24">
        <f t="shared" si="318"/>
        <v>24842</v>
      </c>
      <c r="Z141" s="25">
        <f t="shared" si="319"/>
        <v>4.5272969374167771E-3</v>
      </c>
      <c r="AA141" s="51">
        <v>3.4</v>
      </c>
      <c r="AB141" s="51">
        <v>751</v>
      </c>
      <c r="AC141" s="39">
        <f t="shared" si="320"/>
        <v>0.23591549295774647</v>
      </c>
      <c r="AD141" s="51">
        <v>67</v>
      </c>
      <c r="AE141" s="137">
        <v>284</v>
      </c>
      <c r="AF141" s="7">
        <f t="shared" si="321"/>
        <v>0.69423558897243109</v>
      </c>
      <c r="AG141" s="51">
        <v>277</v>
      </c>
      <c r="AH141" s="103">
        <v>399</v>
      </c>
      <c r="AI141" s="63">
        <f t="shared" si="322"/>
        <v>347.4</v>
      </c>
      <c r="AJ141" s="7">
        <f t="shared" si="308"/>
        <v>0.24225941422594141</v>
      </c>
      <c r="AK141" s="26">
        <f t="shared" si="323"/>
        <v>1434</v>
      </c>
      <c r="AL141" s="93">
        <f t="shared" si="324"/>
        <v>11217.4</v>
      </c>
      <c r="AM141" s="7">
        <f t="shared" si="309"/>
        <v>0.36440242991261407</v>
      </c>
      <c r="AN141" s="3">
        <f t="shared" si="325"/>
        <v>30783</v>
      </c>
      <c r="AO141" s="7">
        <f t="shared" si="326"/>
        <v>8.4059525405550343E-3</v>
      </c>
      <c r="AP141" s="7">
        <f t="shared" si="237"/>
        <v>0.4090514748409485</v>
      </c>
      <c r="AQ141" s="94">
        <f t="shared" si="238"/>
        <v>0.9233433903229411</v>
      </c>
    </row>
    <row r="142" spans="1:43" x14ac:dyDescent="0.15">
      <c r="A142" s="147">
        <v>39508</v>
      </c>
      <c r="B142" s="25">
        <f t="shared" si="310"/>
        <v>6.3748406289842758E-3</v>
      </c>
      <c r="C142" s="11">
        <v>15</v>
      </c>
      <c r="D142" s="3">
        <v>2353</v>
      </c>
      <c r="E142" s="39">
        <f t="shared" si="311"/>
        <v>0.40241305890702628</v>
      </c>
      <c r="F142" s="13">
        <v>567</v>
      </c>
      <c r="G142" s="40">
        <v>1409</v>
      </c>
      <c r="H142" s="7">
        <f t="shared" si="312"/>
        <v>0.94490644490644493</v>
      </c>
      <c r="I142" s="13">
        <v>909</v>
      </c>
      <c r="J142" s="26">
        <v>962</v>
      </c>
      <c r="K142" s="63">
        <f t="shared" si="327"/>
        <v>1491</v>
      </c>
      <c r="L142" s="7">
        <f t="shared" si="305"/>
        <v>0.31562235393734123</v>
      </c>
      <c r="M142" s="26">
        <f t="shared" si="328"/>
        <v>4724</v>
      </c>
      <c r="N142" s="25">
        <f t="shared" si="314"/>
        <v>1.0876519513755598E-2</v>
      </c>
      <c r="O142" s="3">
        <v>136</v>
      </c>
      <c r="P142" s="3">
        <v>12504</v>
      </c>
      <c r="Q142" s="39">
        <f t="shared" si="315"/>
        <v>0.41954419889502764</v>
      </c>
      <c r="R142" s="3">
        <v>2430</v>
      </c>
      <c r="S142" s="40">
        <v>5792</v>
      </c>
      <c r="T142" s="7">
        <f t="shared" si="316"/>
        <v>0.9339610304694651</v>
      </c>
      <c r="U142" s="3">
        <v>7142</v>
      </c>
      <c r="V142" s="26">
        <v>7647</v>
      </c>
      <c r="W142" s="63">
        <f t="shared" si="317"/>
        <v>9708</v>
      </c>
      <c r="X142" s="7">
        <f t="shared" si="307"/>
        <v>0.37420498785799639</v>
      </c>
      <c r="Y142" s="24">
        <f t="shared" si="318"/>
        <v>25943</v>
      </c>
      <c r="Z142" s="25">
        <f t="shared" si="319"/>
        <v>5.4525627044711015E-3</v>
      </c>
      <c r="AA142" s="51">
        <v>5</v>
      </c>
      <c r="AB142" s="51">
        <v>917</v>
      </c>
      <c r="AC142" s="39">
        <f t="shared" si="320"/>
        <v>0.2734375</v>
      </c>
      <c r="AD142" s="51">
        <v>70</v>
      </c>
      <c r="AE142" s="137">
        <v>256</v>
      </c>
      <c r="AF142" s="7">
        <f t="shared" si="321"/>
        <v>0.68809523809523809</v>
      </c>
      <c r="AG142" s="51">
        <v>289</v>
      </c>
      <c r="AH142" s="103">
        <v>420</v>
      </c>
      <c r="AI142" s="63">
        <f t="shared" si="322"/>
        <v>364</v>
      </c>
      <c r="AJ142" s="7">
        <f t="shared" si="308"/>
        <v>0.22849968612680477</v>
      </c>
      <c r="AK142" s="26">
        <f t="shared" si="323"/>
        <v>1593</v>
      </c>
      <c r="AL142" s="93">
        <f t="shared" si="324"/>
        <v>11563</v>
      </c>
      <c r="AM142" s="7">
        <f t="shared" si="309"/>
        <v>0.35843149411035335</v>
      </c>
      <c r="AN142" s="3">
        <f t="shared" si="325"/>
        <v>32260</v>
      </c>
      <c r="AO142" s="7">
        <f t="shared" si="326"/>
        <v>9.8896918980600993E-3</v>
      </c>
      <c r="AP142" s="7">
        <f t="shared" si="237"/>
        <v>0.41129140404988601</v>
      </c>
      <c r="AQ142" s="94">
        <f t="shared" si="238"/>
        <v>0.92369033115516663</v>
      </c>
    </row>
    <row r="143" spans="1:43" x14ac:dyDescent="0.15">
      <c r="A143" s="147">
        <v>39479</v>
      </c>
      <c r="B143" s="25">
        <f t="shared" si="310"/>
        <v>6.8300522298111689E-3</v>
      </c>
      <c r="C143" s="11">
        <v>17</v>
      </c>
      <c r="D143" s="3">
        <v>2489</v>
      </c>
      <c r="E143" s="39">
        <f t="shared" si="311"/>
        <v>0.38574423480083858</v>
      </c>
      <c r="F143" s="13">
        <v>552</v>
      </c>
      <c r="G143" s="40">
        <v>1431</v>
      </c>
      <c r="H143" s="7">
        <f t="shared" si="312"/>
        <v>0.8988212180746562</v>
      </c>
      <c r="I143" s="13">
        <v>915</v>
      </c>
      <c r="J143" s="26">
        <v>1018</v>
      </c>
      <c r="K143" s="63">
        <f t="shared" si="327"/>
        <v>1484</v>
      </c>
      <c r="L143" s="7">
        <f t="shared" si="305"/>
        <v>0.30052652895909276</v>
      </c>
      <c r="M143" s="26">
        <f t="shared" si="328"/>
        <v>4938</v>
      </c>
      <c r="N143" s="25">
        <f t="shared" si="314"/>
        <v>1.0111524163568773E-2</v>
      </c>
      <c r="O143" s="3">
        <v>136</v>
      </c>
      <c r="P143" s="3">
        <v>13450</v>
      </c>
      <c r="Q143" s="39">
        <f t="shared" si="315"/>
        <v>0.42182227221597302</v>
      </c>
      <c r="R143" s="3">
        <v>2250</v>
      </c>
      <c r="S143" s="40">
        <v>5334</v>
      </c>
      <c r="T143" s="7">
        <f t="shared" si="316"/>
        <v>0.94199869366427169</v>
      </c>
      <c r="U143" s="3">
        <v>7211</v>
      </c>
      <c r="V143" s="26">
        <v>7655</v>
      </c>
      <c r="W143" s="63">
        <f t="shared" si="317"/>
        <v>9597</v>
      </c>
      <c r="X143" s="7">
        <f t="shared" si="307"/>
        <v>0.36298649722001586</v>
      </c>
      <c r="Y143" s="24">
        <f t="shared" si="318"/>
        <v>26439</v>
      </c>
      <c r="Z143" s="25">
        <f t="shared" si="319"/>
        <v>3.3557046979865771E-3</v>
      </c>
      <c r="AA143" s="51">
        <v>3.064516129032258</v>
      </c>
      <c r="AB143" s="51">
        <v>913.22580645161293</v>
      </c>
      <c r="AC143" s="39">
        <f t="shared" si="320"/>
        <v>0.23768877216021012</v>
      </c>
      <c r="AD143" s="51">
        <v>70.064516129032256</v>
      </c>
      <c r="AE143" s="137">
        <v>294.77419354838707</v>
      </c>
      <c r="AF143" s="7">
        <f t="shared" si="321"/>
        <v>0.71231146444758153</v>
      </c>
      <c r="AG143" s="51">
        <v>309.25806451612902</v>
      </c>
      <c r="AH143" s="103">
        <v>434.16129032258067</v>
      </c>
      <c r="AI143" s="63">
        <f t="shared" si="322"/>
        <v>382.38709677419354</v>
      </c>
      <c r="AJ143" s="7">
        <f t="shared" si="308"/>
        <v>0.23285599229968371</v>
      </c>
      <c r="AK143" s="26">
        <f t="shared" si="323"/>
        <v>1642.1612903225807</v>
      </c>
      <c r="AL143" s="93">
        <f t="shared" si="324"/>
        <v>11463.387096774193</v>
      </c>
      <c r="AM143" s="7">
        <f t="shared" si="309"/>
        <v>0.34717378179239039</v>
      </c>
      <c r="AN143" s="3">
        <f t="shared" si="325"/>
        <v>33019.161290322576</v>
      </c>
      <c r="AO143" s="7">
        <f t="shared" si="326"/>
        <v>9.2607657837865762E-3</v>
      </c>
      <c r="AP143" s="7">
        <f t="shared" si="237"/>
        <v>0.40682101684692462</v>
      </c>
      <c r="AQ143" s="94">
        <f t="shared" si="238"/>
        <v>0.92622254022003248</v>
      </c>
    </row>
    <row r="144" spans="1:43" x14ac:dyDescent="0.15">
      <c r="A144" s="147">
        <v>39448</v>
      </c>
      <c r="B144" s="25">
        <f t="shared" si="310"/>
        <v>7.2318200080353553E-3</v>
      </c>
      <c r="C144" s="11">
        <v>18</v>
      </c>
      <c r="D144" s="3">
        <v>2489</v>
      </c>
      <c r="E144" s="39">
        <f t="shared" si="311"/>
        <v>0.42412140575079871</v>
      </c>
      <c r="F144" s="13">
        <v>531</v>
      </c>
      <c r="G144" s="40">
        <v>1252</v>
      </c>
      <c r="H144" s="7">
        <f t="shared" si="312"/>
        <v>0.95132743362831862</v>
      </c>
      <c r="I144" s="13">
        <v>860</v>
      </c>
      <c r="J144" s="26">
        <v>904</v>
      </c>
      <c r="K144" s="63">
        <f t="shared" si="327"/>
        <v>1409</v>
      </c>
      <c r="L144" s="7">
        <f t="shared" si="305"/>
        <v>0.30333692142088264</v>
      </c>
      <c r="M144" s="26">
        <f t="shared" si="328"/>
        <v>4645</v>
      </c>
      <c r="N144" s="25">
        <f t="shared" si="314"/>
        <v>1.006893346758578E-2</v>
      </c>
      <c r="O144" s="3">
        <v>130</v>
      </c>
      <c r="P144" s="3">
        <v>12911</v>
      </c>
      <c r="Q144" s="39">
        <f t="shared" si="315"/>
        <v>0.42163435404964666</v>
      </c>
      <c r="R144" s="3">
        <v>2327</v>
      </c>
      <c r="S144" s="40">
        <v>5519</v>
      </c>
      <c r="T144" s="7">
        <f t="shared" si="316"/>
        <v>0.93614421020470517</v>
      </c>
      <c r="U144" s="3">
        <v>6128</v>
      </c>
      <c r="V144" s="26">
        <v>6546</v>
      </c>
      <c r="W144" s="63">
        <f t="shared" si="317"/>
        <v>8585</v>
      </c>
      <c r="X144" s="7">
        <f t="shared" si="307"/>
        <v>0.34372998078155031</v>
      </c>
      <c r="Y144" s="24">
        <f t="shared" si="318"/>
        <v>24976</v>
      </c>
      <c r="Z144" s="25">
        <f t="shared" si="319"/>
        <v>3.4883720930232558E-3</v>
      </c>
      <c r="AA144" s="51">
        <v>3</v>
      </c>
      <c r="AB144" s="51">
        <v>860</v>
      </c>
      <c r="AC144" s="39">
        <f t="shared" si="320"/>
        <v>0.24295774647887325</v>
      </c>
      <c r="AD144" s="51">
        <v>69</v>
      </c>
      <c r="AE144" s="137">
        <v>284</v>
      </c>
      <c r="AF144" s="7">
        <f t="shared" si="321"/>
        <v>0.71912832929782078</v>
      </c>
      <c r="AG144" s="51">
        <v>297</v>
      </c>
      <c r="AH144" s="103">
        <v>413</v>
      </c>
      <c r="AI144" s="63">
        <f t="shared" si="322"/>
        <v>369</v>
      </c>
      <c r="AJ144" s="7">
        <f t="shared" si="308"/>
        <v>0.23699421965317918</v>
      </c>
      <c r="AK144" s="26">
        <f t="shared" si="323"/>
        <v>1557</v>
      </c>
      <c r="AL144" s="93">
        <f t="shared" si="324"/>
        <v>10363</v>
      </c>
      <c r="AM144" s="7">
        <f t="shared" si="309"/>
        <v>0.33238180768490605</v>
      </c>
      <c r="AN144" s="3">
        <f t="shared" si="325"/>
        <v>31178</v>
      </c>
      <c r="AO144" s="7">
        <f t="shared" si="326"/>
        <v>9.2865928659286601E-3</v>
      </c>
      <c r="AP144" s="7">
        <f t="shared" si="237"/>
        <v>0.41488306165839828</v>
      </c>
      <c r="AQ144" s="94">
        <f t="shared" si="238"/>
        <v>0.92649116113442709</v>
      </c>
    </row>
    <row r="145" spans="1:43" x14ac:dyDescent="0.15">
      <c r="A145" s="147">
        <v>39417</v>
      </c>
      <c r="B145" s="25">
        <f t="shared" si="310"/>
        <v>7.2711719418306247E-3</v>
      </c>
      <c r="C145" s="11">
        <v>17</v>
      </c>
      <c r="D145" s="3">
        <v>2338</v>
      </c>
      <c r="E145" s="39">
        <f t="shared" si="311"/>
        <v>0.43695652173913041</v>
      </c>
      <c r="F145" s="13">
        <v>603</v>
      </c>
      <c r="G145" s="40">
        <v>1380</v>
      </c>
      <c r="H145" s="7">
        <f t="shared" si="312"/>
        <v>0.92964352720450283</v>
      </c>
      <c r="I145" s="13">
        <v>991</v>
      </c>
      <c r="J145" s="26">
        <v>1066</v>
      </c>
      <c r="K145" s="63">
        <f t="shared" si="327"/>
        <v>1611</v>
      </c>
      <c r="L145" s="7">
        <f t="shared" si="305"/>
        <v>0.33674749163879597</v>
      </c>
      <c r="M145" s="26">
        <f t="shared" si="328"/>
        <v>4784</v>
      </c>
      <c r="N145" s="25">
        <f t="shared" si="314"/>
        <v>1.0271398747390397E-2</v>
      </c>
      <c r="O145" s="3">
        <v>123</v>
      </c>
      <c r="P145" s="3">
        <v>11975</v>
      </c>
      <c r="Q145" s="39">
        <f t="shared" si="315"/>
        <v>0.42149191444966094</v>
      </c>
      <c r="R145" s="3">
        <v>2424</v>
      </c>
      <c r="S145" s="40">
        <v>5751</v>
      </c>
      <c r="T145" s="7">
        <f t="shared" si="316"/>
        <v>0.94771321120951113</v>
      </c>
      <c r="U145" s="3">
        <v>7812</v>
      </c>
      <c r="V145" s="26">
        <v>8243</v>
      </c>
      <c r="W145" s="63">
        <f t="shared" si="317"/>
        <v>10359</v>
      </c>
      <c r="X145" s="7">
        <f t="shared" si="307"/>
        <v>0.39889868689591435</v>
      </c>
      <c r="Y145" s="24">
        <f t="shared" si="318"/>
        <v>25969</v>
      </c>
      <c r="Z145" s="25">
        <f t="shared" si="319"/>
        <v>4.2714342331234313E-3</v>
      </c>
      <c r="AA145" s="51">
        <v>3.2333333333333334</v>
      </c>
      <c r="AB145" s="51">
        <v>756.9666666666667</v>
      </c>
      <c r="AC145" s="39">
        <f t="shared" si="320"/>
        <v>0.23217874453245066</v>
      </c>
      <c r="AD145" s="51">
        <v>65.466666666666669</v>
      </c>
      <c r="AE145" s="137">
        <v>281.96666666666664</v>
      </c>
      <c r="AF145" s="7">
        <f t="shared" si="321"/>
        <v>0.71530758226037194</v>
      </c>
      <c r="AG145" s="51">
        <v>300</v>
      </c>
      <c r="AH145" s="103">
        <v>419.4</v>
      </c>
      <c r="AI145" s="63">
        <f t="shared" si="322"/>
        <v>368.70000000000005</v>
      </c>
      <c r="AJ145" s="7">
        <f t="shared" si="308"/>
        <v>0.25282285714285718</v>
      </c>
      <c r="AK145" s="26">
        <f t="shared" si="323"/>
        <v>1458.3333333333333</v>
      </c>
      <c r="AL145" s="93">
        <f t="shared" si="324"/>
        <v>12338.7</v>
      </c>
      <c r="AM145" s="7">
        <f t="shared" si="309"/>
        <v>0.38305461845727179</v>
      </c>
      <c r="AN145" s="3">
        <f t="shared" si="325"/>
        <v>32211.333333333332</v>
      </c>
      <c r="AO145" s="7">
        <f t="shared" si="326"/>
        <v>9.5045554181716844E-3</v>
      </c>
      <c r="AP145" s="7">
        <f t="shared" si="237"/>
        <v>0.41716991397955838</v>
      </c>
      <c r="AQ145" s="94">
        <f t="shared" si="238"/>
        <v>0.93571399202335437</v>
      </c>
    </row>
    <row r="146" spans="1:43" x14ac:dyDescent="0.15">
      <c r="A146" s="147">
        <v>39387</v>
      </c>
      <c r="B146" s="25">
        <f t="shared" si="310"/>
        <v>5.9171597633136093E-3</v>
      </c>
      <c r="C146" s="11">
        <v>13</v>
      </c>
      <c r="D146" s="3">
        <v>2197</v>
      </c>
      <c r="E146" s="39">
        <f t="shared" si="311"/>
        <v>0.42367346938775508</v>
      </c>
      <c r="F146" s="13">
        <v>519</v>
      </c>
      <c r="G146" s="40">
        <v>1225</v>
      </c>
      <c r="H146" s="7">
        <f t="shared" si="312"/>
        <v>0.66570605187319887</v>
      </c>
      <c r="I146" s="13">
        <v>924</v>
      </c>
      <c r="J146" s="26">
        <v>1388</v>
      </c>
      <c r="K146" s="63">
        <f t="shared" si="327"/>
        <v>1456</v>
      </c>
      <c r="L146" s="7">
        <f t="shared" si="305"/>
        <v>0.30270270270270272</v>
      </c>
      <c r="M146" s="26">
        <f t="shared" si="328"/>
        <v>4810</v>
      </c>
      <c r="N146" s="25">
        <f t="shared" si="314"/>
        <v>9.9941781486512712E-3</v>
      </c>
      <c r="O146" s="3">
        <v>103</v>
      </c>
      <c r="P146" s="3">
        <v>10306</v>
      </c>
      <c r="Q146" s="39">
        <f t="shared" si="315"/>
        <v>0.4093293368302735</v>
      </c>
      <c r="R146" s="3">
        <v>2185</v>
      </c>
      <c r="S146" s="40">
        <v>5338</v>
      </c>
      <c r="T146" s="7">
        <f t="shared" si="316"/>
        <v>0.95059382422802852</v>
      </c>
      <c r="U146" s="3">
        <v>8004</v>
      </c>
      <c r="V146" s="26">
        <v>8420</v>
      </c>
      <c r="W146" s="63">
        <f t="shared" si="317"/>
        <v>10292</v>
      </c>
      <c r="X146" s="7">
        <f t="shared" si="307"/>
        <v>0.42769281914893614</v>
      </c>
      <c r="Y146" s="24">
        <f t="shared" si="318"/>
        <v>24064</v>
      </c>
      <c r="Z146" s="25">
        <f t="shared" si="319"/>
        <v>4.6360228841980664E-3</v>
      </c>
      <c r="AA146" s="51">
        <v>3.032258064516129</v>
      </c>
      <c r="AB146" s="51">
        <v>654.06451612903231</v>
      </c>
      <c r="AC146" s="39">
        <f t="shared" si="320"/>
        <v>0.2284988892415106</v>
      </c>
      <c r="AD146" s="51">
        <v>69.677419354838705</v>
      </c>
      <c r="AE146" s="137">
        <v>304.93548387096774</v>
      </c>
      <c r="AF146" s="7">
        <f t="shared" si="321"/>
        <v>0.69004638335213742</v>
      </c>
      <c r="AG146" s="51">
        <v>355.12903225806451</v>
      </c>
      <c r="AH146" s="103">
        <v>514.64516129032256</v>
      </c>
      <c r="AI146" s="63">
        <f t="shared" si="322"/>
        <v>427.83870967741939</v>
      </c>
      <c r="AJ146" s="7">
        <f t="shared" si="308"/>
        <v>0.2903268174156689</v>
      </c>
      <c r="AK146" s="26">
        <f t="shared" si="323"/>
        <v>1473.6451612903224</v>
      </c>
      <c r="AL146" s="93">
        <f t="shared" si="324"/>
        <v>12175.838709677419</v>
      </c>
      <c r="AM146" s="7">
        <f t="shared" si="309"/>
        <v>0.40121197690844906</v>
      </c>
      <c r="AN146" s="3">
        <f t="shared" si="325"/>
        <v>30347.645161290322</v>
      </c>
      <c r="AO146" s="7">
        <f t="shared" si="326"/>
        <v>9.0470224508359294E-3</v>
      </c>
      <c r="AP146" s="7">
        <f t="shared" si="237"/>
        <v>0.40385898001935122</v>
      </c>
      <c r="AQ146" s="94">
        <f t="shared" si="238"/>
        <v>0.89929750439059764</v>
      </c>
    </row>
    <row r="147" spans="1:43" x14ac:dyDescent="0.15">
      <c r="A147" s="147">
        <v>39356</v>
      </c>
      <c r="B147" s="25">
        <f t="shared" si="310"/>
        <v>6.1061531235321745E-3</v>
      </c>
      <c r="C147" s="11">
        <v>13</v>
      </c>
      <c r="D147" s="3">
        <v>2129</v>
      </c>
      <c r="E147" s="39">
        <f t="shared" si="311"/>
        <v>0.40247452692867541</v>
      </c>
      <c r="F147" s="13">
        <v>553</v>
      </c>
      <c r="G147" s="40">
        <v>1374</v>
      </c>
      <c r="H147" s="7">
        <f t="shared" si="312"/>
        <v>0.83996383363471971</v>
      </c>
      <c r="I147" s="13">
        <v>929</v>
      </c>
      <c r="J147" s="26">
        <v>1106</v>
      </c>
      <c r="K147" s="63">
        <f t="shared" si="327"/>
        <v>1495</v>
      </c>
      <c r="L147" s="7">
        <f t="shared" si="305"/>
        <v>0.32436537209806898</v>
      </c>
      <c r="M147" s="26">
        <f t="shared" si="328"/>
        <v>4609</v>
      </c>
      <c r="N147" s="25">
        <f t="shared" si="314"/>
        <v>9.425244871557938E-3</v>
      </c>
      <c r="O147" s="3">
        <v>102</v>
      </c>
      <c r="P147" s="3">
        <v>10822</v>
      </c>
      <c r="Q147" s="39">
        <f t="shared" si="315"/>
        <v>0.39311382249707505</v>
      </c>
      <c r="R147" s="3">
        <v>2352</v>
      </c>
      <c r="S147" s="40">
        <v>5983</v>
      </c>
      <c r="T147" s="7">
        <f t="shared" si="316"/>
        <v>0.94653299916457811</v>
      </c>
      <c r="U147" s="3">
        <v>7931</v>
      </c>
      <c r="V147" s="26">
        <v>8379</v>
      </c>
      <c r="W147" s="63">
        <f t="shared" si="317"/>
        <v>10385</v>
      </c>
      <c r="X147" s="7">
        <f t="shared" si="307"/>
        <v>0.41236499364675983</v>
      </c>
      <c r="Y147" s="24">
        <f t="shared" si="318"/>
        <v>25184</v>
      </c>
      <c r="Z147" s="25">
        <f t="shared" si="319"/>
        <v>4.9398110402378778E-3</v>
      </c>
      <c r="AA147" s="51">
        <v>3.4333333333333331</v>
      </c>
      <c r="AB147" s="51">
        <v>695.0333333333333</v>
      </c>
      <c r="AC147" s="39">
        <f t="shared" si="320"/>
        <v>0.21733595648651774</v>
      </c>
      <c r="AD147" s="51">
        <v>62.6</v>
      </c>
      <c r="AE147" s="137">
        <v>288.03333333333336</v>
      </c>
      <c r="AF147" s="7">
        <f t="shared" si="321"/>
        <v>0.69962146515252721</v>
      </c>
      <c r="AG147" s="51">
        <v>314.2</v>
      </c>
      <c r="AH147" s="103">
        <v>449.1</v>
      </c>
      <c r="AI147" s="63">
        <f t="shared" si="322"/>
        <v>380.23333333333335</v>
      </c>
      <c r="AJ147" s="7">
        <f t="shared" si="308"/>
        <v>0.26549517048760618</v>
      </c>
      <c r="AK147" s="26">
        <f t="shared" si="323"/>
        <v>1432.1666666666667</v>
      </c>
      <c r="AL147" s="93">
        <f t="shared" si="324"/>
        <v>12260.233333333334</v>
      </c>
      <c r="AM147" s="7">
        <f t="shared" si="309"/>
        <v>0.39263948417675915</v>
      </c>
      <c r="AN147" s="3">
        <f t="shared" si="325"/>
        <v>31225.166666666668</v>
      </c>
      <c r="AO147" s="7">
        <f t="shared" si="326"/>
        <v>8.678956766435179E-3</v>
      </c>
      <c r="AP147" s="7">
        <f t="shared" si="237"/>
        <v>0.38817358546507313</v>
      </c>
      <c r="AQ147" s="94">
        <f t="shared" si="238"/>
        <v>0.92350590390674547</v>
      </c>
    </row>
    <row r="148" spans="1:43" x14ac:dyDescent="0.15">
      <c r="A148" s="147">
        <v>39326</v>
      </c>
      <c r="B148" s="25">
        <f t="shared" si="310"/>
        <v>6.6362505184570713E-3</v>
      </c>
      <c r="C148" s="11">
        <v>16</v>
      </c>
      <c r="D148" s="3">
        <v>2411</v>
      </c>
      <c r="E148" s="39">
        <f t="shared" si="311"/>
        <v>0.42629482071713148</v>
      </c>
      <c r="F148" s="13">
        <v>642</v>
      </c>
      <c r="G148" s="40">
        <v>1506</v>
      </c>
      <c r="H148" s="7">
        <f t="shared" si="312"/>
        <v>0.79470729751403368</v>
      </c>
      <c r="I148" s="13">
        <v>991</v>
      </c>
      <c r="J148" s="26">
        <v>1247</v>
      </c>
      <c r="K148" s="63">
        <f t="shared" si="327"/>
        <v>1649</v>
      </c>
      <c r="L148" s="7">
        <f t="shared" si="305"/>
        <v>0.31932610379550735</v>
      </c>
      <c r="M148" s="26">
        <f t="shared" si="328"/>
        <v>5164</v>
      </c>
      <c r="N148" s="25">
        <f t="shared" si="314"/>
        <v>8.5376360930524003E-3</v>
      </c>
      <c r="O148" s="3">
        <v>109</v>
      </c>
      <c r="P148" s="3">
        <v>12767</v>
      </c>
      <c r="Q148" s="39">
        <f t="shared" si="315"/>
        <v>0.38437203416640303</v>
      </c>
      <c r="R148" s="3">
        <v>2430</v>
      </c>
      <c r="S148" s="40">
        <v>6322</v>
      </c>
      <c r="T148" s="7">
        <f t="shared" si="316"/>
        <v>0.94389238972370337</v>
      </c>
      <c r="U148" s="3">
        <v>7789</v>
      </c>
      <c r="V148" s="26">
        <v>8252</v>
      </c>
      <c r="W148" s="63">
        <f t="shared" si="317"/>
        <v>10328</v>
      </c>
      <c r="X148" s="7">
        <f t="shared" si="307"/>
        <v>0.37774770491203685</v>
      </c>
      <c r="Y148" s="24">
        <f t="shared" si="318"/>
        <v>27341</v>
      </c>
      <c r="Z148" s="25">
        <f t="shared" si="319"/>
        <v>3.9509720289139317E-3</v>
      </c>
      <c r="AA148" s="51">
        <v>2.838709677419355</v>
      </c>
      <c r="AB148" s="51">
        <v>718.48387096774195</v>
      </c>
      <c r="AC148" s="39">
        <f t="shared" si="320"/>
        <v>0.22961643261370779</v>
      </c>
      <c r="AD148" s="51">
        <v>70.677419354838705</v>
      </c>
      <c r="AE148" s="137">
        <v>307.80645161290323</v>
      </c>
      <c r="AF148" s="7">
        <f t="shared" si="321"/>
        <v>0.69776119402985071</v>
      </c>
      <c r="AG148" s="51">
        <v>343.83870967741933</v>
      </c>
      <c r="AH148" s="103">
        <v>492.77419354838707</v>
      </c>
      <c r="AI148" s="63">
        <f t="shared" si="322"/>
        <v>417.35483870967738</v>
      </c>
      <c r="AJ148" s="7">
        <f t="shared" si="308"/>
        <v>0.27474464335010934</v>
      </c>
      <c r="AK148" s="26">
        <f t="shared" si="323"/>
        <v>1519.0645161290322</v>
      </c>
      <c r="AL148" s="93">
        <f t="shared" si="324"/>
        <v>12394.354838709678</v>
      </c>
      <c r="AM148" s="7">
        <f t="shared" si="309"/>
        <v>0.36428201671302857</v>
      </c>
      <c r="AN148" s="3">
        <f t="shared" si="325"/>
        <v>34024.06451612903</v>
      </c>
      <c r="AO148" s="7">
        <f t="shared" si="326"/>
        <v>8.0419488180587719E-3</v>
      </c>
      <c r="AP148" s="7">
        <f t="shared" si="237"/>
        <v>0.38627730859204629</v>
      </c>
      <c r="AQ148" s="94">
        <f t="shared" si="238"/>
        <v>0.91313499814363441</v>
      </c>
    </row>
    <row r="149" spans="1:43" x14ac:dyDescent="0.15">
      <c r="A149" s="147">
        <v>39295</v>
      </c>
      <c r="B149" s="25">
        <f t="shared" si="310"/>
        <v>6.4589665653495441E-3</v>
      </c>
      <c r="C149" s="11">
        <v>17</v>
      </c>
      <c r="D149" s="3">
        <v>2632</v>
      </c>
      <c r="E149" s="39">
        <f t="shared" si="311"/>
        <v>0.43042671614100186</v>
      </c>
      <c r="F149" s="13">
        <v>696</v>
      </c>
      <c r="G149" s="40">
        <v>1617</v>
      </c>
      <c r="H149" s="7">
        <f t="shared" si="312"/>
        <v>0.78549618320610692</v>
      </c>
      <c r="I149" s="3">
        <v>1029</v>
      </c>
      <c r="J149" s="26">
        <v>1310</v>
      </c>
      <c r="K149" s="63">
        <f t="shared" si="327"/>
        <v>1742</v>
      </c>
      <c r="L149" s="7">
        <f t="shared" si="305"/>
        <v>0.31336571325778018</v>
      </c>
      <c r="M149" s="26">
        <f t="shared" si="328"/>
        <v>5559</v>
      </c>
      <c r="N149" s="25">
        <f t="shared" si="314"/>
        <v>8.5051174859449331E-3</v>
      </c>
      <c r="O149" s="3">
        <v>118</v>
      </c>
      <c r="P149" s="3">
        <v>13874</v>
      </c>
      <c r="Q149" s="39">
        <f t="shared" si="315"/>
        <v>0.39485948312385255</v>
      </c>
      <c r="R149" s="3">
        <v>2796</v>
      </c>
      <c r="S149" s="40">
        <v>7081</v>
      </c>
      <c r="T149" s="7">
        <f t="shared" si="316"/>
        <v>0.94408831908831914</v>
      </c>
      <c r="U149" s="3">
        <v>7953</v>
      </c>
      <c r="V149" s="26">
        <v>8424</v>
      </c>
      <c r="W149" s="63">
        <f t="shared" si="317"/>
        <v>10867</v>
      </c>
      <c r="X149" s="7">
        <f t="shared" si="307"/>
        <v>0.36989005752408183</v>
      </c>
      <c r="Y149" s="24">
        <f t="shared" si="318"/>
        <v>29379</v>
      </c>
      <c r="Z149" s="25">
        <f t="shared" si="319"/>
        <v>3.8203919622922353E-3</v>
      </c>
      <c r="AA149" s="51">
        <v>2.4838709677419355</v>
      </c>
      <c r="AB149" s="51">
        <v>650.16129032258061</v>
      </c>
      <c r="AC149" s="39">
        <f t="shared" si="320"/>
        <v>0.23710685163613254</v>
      </c>
      <c r="AD149" s="51">
        <v>72.225806451612897</v>
      </c>
      <c r="AE149" s="137">
        <v>304.61290322580646</v>
      </c>
      <c r="AF149" s="7">
        <f t="shared" si="321"/>
        <v>0.69296728635250038</v>
      </c>
      <c r="AG149" s="51">
        <v>310.22580645161293</v>
      </c>
      <c r="AH149" s="103">
        <v>447.67741935483872</v>
      </c>
      <c r="AI149" s="63">
        <f t="shared" si="322"/>
        <v>384.9354838709678</v>
      </c>
      <c r="AJ149" s="7">
        <f t="shared" si="308"/>
        <v>0.27447327261017579</v>
      </c>
      <c r="AK149" s="26">
        <f t="shared" si="323"/>
        <v>1402.4516129032259</v>
      </c>
      <c r="AL149" s="93">
        <f t="shared" si="324"/>
        <v>12993.935483870968</v>
      </c>
      <c r="AM149" s="7">
        <f t="shared" si="309"/>
        <v>0.35756119990697294</v>
      </c>
      <c r="AN149" s="3">
        <f t="shared" si="325"/>
        <v>36340.451612903227</v>
      </c>
      <c r="AO149" s="7">
        <f t="shared" si="326"/>
        <v>8.0136732594892103E-3</v>
      </c>
      <c r="AP149" s="7">
        <f t="shared" si="237"/>
        <v>0.39591014794987833</v>
      </c>
      <c r="AQ149" s="94">
        <f t="shared" si="238"/>
        <v>0.91264193744613986</v>
      </c>
    </row>
    <row r="150" spans="1:43" x14ac:dyDescent="0.15">
      <c r="A150" s="147">
        <v>39264</v>
      </c>
      <c r="B150" s="25">
        <f t="shared" si="310"/>
        <v>6.6183725722850188E-3</v>
      </c>
      <c r="C150" s="11">
        <v>15.14</v>
      </c>
      <c r="D150" s="3">
        <v>2287.5714285714284</v>
      </c>
      <c r="E150" s="39">
        <f t="shared" si="311"/>
        <v>0.44121715076071921</v>
      </c>
      <c r="F150" s="13">
        <v>638</v>
      </c>
      <c r="G150" s="40">
        <v>1446</v>
      </c>
      <c r="H150" s="7">
        <f t="shared" si="312"/>
        <v>0.89628924833491908</v>
      </c>
      <c r="I150" s="13">
        <v>942</v>
      </c>
      <c r="J150" s="26">
        <v>1051</v>
      </c>
      <c r="K150" s="63">
        <f t="shared" si="327"/>
        <v>1595.1399999999999</v>
      </c>
      <c r="L150" s="7">
        <f t="shared" si="305"/>
        <v>0.33339245192881878</v>
      </c>
      <c r="M150" s="26">
        <f t="shared" si="328"/>
        <v>4784.5714285714284</v>
      </c>
      <c r="N150" s="25">
        <f t="shared" si="314"/>
        <v>9.1488318902140167E-3</v>
      </c>
      <c r="O150" s="106">
        <v>112</v>
      </c>
      <c r="P150" s="3">
        <v>12242</v>
      </c>
      <c r="Q150" s="39">
        <f t="shared" si="315"/>
        <v>0.41516079632465541</v>
      </c>
      <c r="R150" s="3">
        <v>2711</v>
      </c>
      <c r="S150" s="40">
        <v>6530</v>
      </c>
      <c r="T150" s="7">
        <f t="shared" si="316"/>
        <v>0.94145744029393752</v>
      </c>
      <c r="U150" s="3">
        <v>7687</v>
      </c>
      <c r="V150" s="26">
        <v>8165</v>
      </c>
      <c r="W150" s="63">
        <f t="shared" si="317"/>
        <v>10510</v>
      </c>
      <c r="X150" s="7">
        <f t="shared" si="307"/>
        <v>0.39016965512120877</v>
      </c>
      <c r="Y150" s="24">
        <f t="shared" si="318"/>
        <v>26937</v>
      </c>
      <c r="Z150" s="25">
        <f t="shared" si="319"/>
        <v>5.7098616084389816E-3</v>
      </c>
      <c r="AA150" s="51">
        <v>3.9333333333333331</v>
      </c>
      <c r="AB150" s="51">
        <v>688.86666666666667</v>
      </c>
      <c r="AC150" s="39">
        <f t="shared" si="320"/>
        <v>0.25894481503941785</v>
      </c>
      <c r="AD150" s="51">
        <v>71.166666666666671</v>
      </c>
      <c r="AE150" s="137">
        <v>274.83333333333331</v>
      </c>
      <c r="AF150" s="7">
        <f t="shared" si="321"/>
        <v>0.6841218587673733</v>
      </c>
      <c r="AG150" s="51">
        <v>324.86666666666667</v>
      </c>
      <c r="AH150" s="103">
        <v>474.86666666666667</v>
      </c>
      <c r="AI150" s="63">
        <f t="shared" si="322"/>
        <v>399.9666666666667</v>
      </c>
      <c r="AJ150" s="7">
        <f t="shared" si="308"/>
        <v>0.27803137382116461</v>
      </c>
      <c r="AK150" s="26">
        <f t="shared" si="323"/>
        <v>1438.5666666666666</v>
      </c>
      <c r="AL150" s="93">
        <f t="shared" si="324"/>
        <v>12505.106666666667</v>
      </c>
      <c r="AM150" s="7">
        <f t="shared" si="309"/>
        <v>0.37711262331752599</v>
      </c>
      <c r="AN150" s="3">
        <f t="shared" si="325"/>
        <v>33160.138095238093</v>
      </c>
      <c r="AO150" s="7">
        <f t="shared" si="326"/>
        <v>8.6127980094321682E-3</v>
      </c>
      <c r="AP150" s="7">
        <f t="shared" si="237"/>
        <v>0.41452378547621449</v>
      </c>
      <c r="AQ150" s="94">
        <f t="shared" si="238"/>
        <v>0.92394901040842581</v>
      </c>
    </row>
    <row r="151" spans="1:43" x14ac:dyDescent="0.15">
      <c r="A151" s="147">
        <v>39234</v>
      </c>
      <c r="B151" s="25">
        <v>6.2984496124031007E-3</v>
      </c>
      <c r="C151" s="11">
        <v>13</v>
      </c>
      <c r="D151" s="3">
        <v>2064</v>
      </c>
      <c r="E151" s="39">
        <v>0.44280693798889015</v>
      </c>
      <c r="F151" s="13">
        <v>558</v>
      </c>
      <c r="G151" s="40">
        <v>1260.1428571428571</v>
      </c>
      <c r="H151" s="7">
        <v>0.94038541522251495</v>
      </c>
      <c r="I151" s="13">
        <v>969</v>
      </c>
      <c r="J151" s="26">
        <v>1030.4285714285713</v>
      </c>
      <c r="K151" s="88">
        <v>1540</v>
      </c>
      <c r="L151" s="30">
        <v>0.35365133521422482</v>
      </c>
      <c r="M151" s="27">
        <v>4354.5714285714284</v>
      </c>
      <c r="N151" s="25">
        <f t="shared" si="314"/>
        <v>9.4103147823166883E-3</v>
      </c>
      <c r="O151" s="3">
        <v>99.369</v>
      </c>
      <c r="P151" s="3">
        <v>10559.583000000001</v>
      </c>
      <c r="Q151" s="39">
        <f t="shared" si="315"/>
        <v>0.43199285075960681</v>
      </c>
      <c r="R151" s="3">
        <v>2417</v>
      </c>
      <c r="S151" s="40">
        <v>5595</v>
      </c>
      <c r="T151" s="7">
        <f t="shared" si="316"/>
        <v>0.95230904743928524</v>
      </c>
      <c r="U151" s="3">
        <v>7568</v>
      </c>
      <c r="V151" s="26">
        <v>7947</v>
      </c>
      <c r="W151" s="63">
        <f t="shared" si="317"/>
        <v>10084.368999999999</v>
      </c>
      <c r="X151" s="7">
        <f t="shared" si="307"/>
        <v>0.41841106453464072</v>
      </c>
      <c r="Y151" s="24">
        <f t="shared" si="318"/>
        <v>24101.582999999999</v>
      </c>
      <c r="Z151" s="25">
        <f t="shared" si="319"/>
        <v>6.0502119956171692E-3</v>
      </c>
      <c r="AA151" s="51">
        <f>127/31</f>
        <v>4.096774193548387</v>
      </c>
      <c r="AB151" s="51">
        <f>20991/31</f>
        <v>677.12903225806451</v>
      </c>
      <c r="AC151" s="39">
        <f t="shared" si="320"/>
        <v>0.24348837209302324</v>
      </c>
      <c r="AD151" s="51">
        <f>2094/31</f>
        <v>67.548387096774192</v>
      </c>
      <c r="AE151" s="137">
        <f>8600/31</f>
        <v>277.41935483870969</v>
      </c>
      <c r="AF151" s="7">
        <f t="shared" si="321"/>
        <v>0.71944193794683142</v>
      </c>
      <c r="AG151" s="51">
        <f>10365/31</f>
        <v>334.35483870967744</v>
      </c>
      <c r="AH151" s="103">
        <f>14407/31</f>
        <v>464.74193548387098</v>
      </c>
      <c r="AI151" s="63">
        <f t="shared" si="322"/>
        <v>406.00000000000006</v>
      </c>
      <c r="AJ151" s="7">
        <f t="shared" si="308"/>
        <v>0.28605845720260015</v>
      </c>
      <c r="AK151" s="26">
        <f t="shared" si="323"/>
        <v>1419.2903225806454</v>
      </c>
      <c r="AL151" s="93">
        <f t="shared" si="324"/>
        <v>12030.368999999999</v>
      </c>
      <c r="AM151" s="7">
        <f t="shared" si="309"/>
        <v>0.40268418094549296</v>
      </c>
      <c r="AN151" s="3">
        <f t="shared" si="325"/>
        <v>29875.44475115207</v>
      </c>
      <c r="AO151" s="7">
        <f t="shared" si="326"/>
        <v>8.7563563447644963E-3</v>
      </c>
      <c r="AP151" s="7">
        <f t="shared" si="237"/>
        <v>0.42657158769478076</v>
      </c>
      <c r="AQ151" s="94">
        <f t="shared" si="238"/>
        <v>0.9395461384874505</v>
      </c>
    </row>
    <row r="152" spans="1:43" x14ac:dyDescent="0.15">
      <c r="A152" s="147">
        <v>39203</v>
      </c>
      <c r="B152" s="25">
        <f>C152/D152</f>
        <v>6.3789868667917448E-3</v>
      </c>
      <c r="C152" s="11">
        <v>13.6</v>
      </c>
      <c r="D152" s="4">
        <v>2132</v>
      </c>
      <c r="E152" s="39">
        <f>F152/G152</f>
        <v>0.44294320137693638</v>
      </c>
      <c r="F152" s="11">
        <v>514.70000000000005</v>
      </c>
      <c r="G152" s="40">
        <v>1162</v>
      </c>
      <c r="H152" s="100">
        <f>I152/J152</f>
        <v>0.93762993762993763</v>
      </c>
      <c r="I152" s="4">
        <v>902</v>
      </c>
      <c r="J152" s="85">
        <v>962</v>
      </c>
      <c r="K152" s="63">
        <f>+C152+F152+I152</f>
        <v>1430.3000000000002</v>
      </c>
      <c r="L152" s="7">
        <f>K152/M152</f>
        <v>0.33606672932330833</v>
      </c>
      <c r="M152" s="26">
        <f>+J152+G152+D152</f>
        <v>4256</v>
      </c>
      <c r="N152" s="25">
        <v>9.3931993236896494E-3</v>
      </c>
      <c r="O152" s="3">
        <v>100</v>
      </c>
      <c r="P152" s="3">
        <v>10646</v>
      </c>
      <c r="Q152" s="39">
        <v>0.43888998228695136</v>
      </c>
      <c r="R152" s="3">
        <v>2230</v>
      </c>
      <c r="S152" s="40">
        <v>5081</v>
      </c>
      <c r="T152" s="7">
        <v>0.94785158740277953</v>
      </c>
      <c r="U152" s="3">
        <v>7434</v>
      </c>
      <c r="V152" s="26">
        <v>7843</v>
      </c>
      <c r="W152" s="89">
        <v>9764</v>
      </c>
      <c r="X152" s="7">
        <f t="shared" si="307"/>
        <v>0.41425540941875266</v>
      </c>
      <c r="Y152" s="24">
        <v>23570</v>
      </c>
      <c r="Z152" s="25">
        <v>7.8226857887874843E-3</v>
      </c>
      <c r="AA152" s="13">
        <v>6</v>
      </c>
      <c r="AB152" s="77">
        <v>767</v>
      </c>
      <c r="AC152" s="35">
        <v>0.23958333333333334</v>
      </c>
      <c r="AD152" s="13">
        <v>69</v>
      </c>
      <c r="AE152" s="43">
        <v>288</v>
      </c>
      <c r="AF152" s="7">
        <v>0.89570552147239269</v>
      </c>
      <c r="AG152" s="13">
        <v>438</v>
      </c>
      <c r="AH152" s="71">
        <v>489</v>
      </c>
      <c r="AI152" s="63">
        <v>513</v>
      </c>
      <c r="AJ152" s="67">
        <v>0.33225388601036271</v>
      </c>
      <c r="AK152" s="26">
        <v>1544</v>
      </c>
      <c r="AL152" s="93">
        <v>10277</v>
      </c>
      <c r="AM152" s="7">
        <v>0.40921398423190253</v>
      </c>
      <c r="AN152" s="3">
        <v>25114</v>
      </c>
      <c r="AO152" s="7">
        <f t="shared" si="326"/>
        <v>8.8298265042451082E-3</v>
      </c>
      <c r="AP152" s="7">
        <f t="shared" si="237"/>
        <v>0.43082223242994944</v>
      </c>
      <c r="AQ152" s="94">
        <f t="shared" si="238"/>
        <v>0.94404992468259097</v>
      </c>
    </row>
    <row r="153" spans="1:43" x14ac:dyDescent="0.15">
      <c r="A153" s="147">
        <v>39173</v>
      </c>
      <c r="B153" s="25">
        <v>6.2953414473289762E-3</v>
      </c>
      <c r="C153" s="17">
        <v>15</v>
      </c>
      <c r="D153" s="3">
        <v>2382.7142857142858</v>
      </c>
      <c r="E153" s="39">
        <v>0.43800927667042744</v>
      </c>
      <c r="F153" s="3">
        <v>499</v>
      </c>
      <c r="G153" s="40">
        <v>1139.5714285714287</v>
      </c>
      <c r="H153" s="7">
        <v>0.93698866082962529</v>
      </c>
      <c r="I153" s="3">
        <v>933</v>
      </c>
      <c r="J153" s="26">
        <v>995.28571428571433</v>
      </c>
      <c r="K153" s="88">
        <v>1447</v>
      </c>
      <c r="L153" s="30">
        <v>0.32030484141289561</v>
      </c>
      <c r="M153" s="27">
        <v>4517.5714285714294</v>
      </c>
      <c r="N153" s="45">
        <v>9.108596134505955E-3</v>
      </c>
      <c r="O153" s="4">
        <v>104</v>
      </c>
      <c r="P153" s="6">
        <v>11397.146000000001</v>
      </c>
      <c r="Q153" s="39">
        <v>0.43945024147213518</v>
      </c>
      <c r="R153" s="3">
        <v>2239</v>
      </c>
      <c r="S153" s="40">
        <v>5095.6189999999997</v>
      </c>
      <c r="T153" s="7">
        <v>0.95299999999999996</v>
      </c>
      <c r="U153" s="3">
        <v>8658</v>
      </c>
      <c r="V153" s="26">
        <v>9082.0339999999997</v>
      </c>
      <c r="W153" s="89">
        <v>11001</v>
      </c>
      <c r="X153" s="7">
        <f t="shared" si="307"/>
        <v>0.43015000821707339</v>
      </c>
      <c r="Y153" s="24">
        <v>25574.798999999999</v>
      </c>
      <c r="Z153" s="22">
        <v>8.0258744609487294E-3</v>
      </c>
      <c r="AA153" s="3">
        <v>6.4838709677419351</v>
      </c>
      <c r="AB153" s="84">
        <v>807.87096774193549</v>
      </c>
      <c r="AC153" s="35">
        <v>0.24441215914170766</v>
      </c>
      <c r="AD153" s="6">
        <v>70.548387096774192</v>
      </c>
      <c r="AE153" s="40">
        <v>288.64516129032256</v>
      </c>
      <c r="AF153" s="14">
        <v>0.8919904521946691</v>
      </c>
      <c r="AG153" s="3">
        <v>433.96774193548384</v>
      </c>
      <c r="AH153" s="85">
        <v>486.51612903225805</v>
      </c>
      <c r="AI153" s="63">
        <v>511</v>
      </c>
      <c r="AJ153" s="7">
        <v>0.32279822309165751</v>
      </c>
      <c r="AK153" s="26">
        <v>1583.0322580645161</v>
      </c>
      <c r="AL153" s="93">
        <v>12959</v>
      </c>
      <c r="AM153" s="7">
        <v>0.40911871360257357</v>
      </c>
      <c r="AN153" s="3">
        <v>31675.402686635942</v>
      </c>
      <c r="AO153" s="7">
        <f t="shared" si="326"/>
        <v>8.6020141711900169E-3</v>
      </c>
      <c r="AP153" s="7">
        <f t="shared" si="237"/>
        <v>0.43050569690342105</v>
      </c>
      <c r="AQ153" s="94">
        <f t="shared" si="238"/>
        <v>0.94898935297983233</v>
      </c>
    </row>
    <row r="154" spans="1:43" x14ac:dyDescent="0.15">
      <c r="A154" s="147">
        <v>39142</v>
      </c>
      <c r="B154" s="22">
        <v>6.7681895093062603E-3</v>
      </c>
      <c r="C154" s="11">
        <v>16</v>
      </c>
      <c r="D154" s="6">
        <v>2364</v>
      </c>
      <c r="E154" s="35">
        <v>0.43293591654247393</v>
      </c>
      <c r="F154" s="17">
        <v>576</v>
      </c>
      <c r="G154" s="38">
        <v>1326</v>
      </c>
      <c r="H154" s="8">
        <v>0.94399185336048885</v>
      </c>
      <c r="I154" s="6">
        <v>927</v>
      </c>
      <c r="J154" s="23">
        <v>982</v>
      </c>
      <c r="K154" s="88">
        <v>1519</v>
      </c>
      <c r="L154" s="30">
        <v>0.32512842465753422</v>
      </c>
      <c r="M154" s="27">
        <v>4672</v>
      </c>
      <c r="N154" s="25">
        <v>9.3432858469193417E-3</v>
      </c>
      <c r="O154" s="3">
        <v>117</v>
      </c>
      <c r="P154" s="17">
        <v>12573.842000000001</v>
      </c>
      <c r="Q154" s="49">
        <v>0.44438679053250552</v>
      </c>
      <c r="R154" s="74">
        <v>2489</v>
      </c>
      <c r="S154" s="37">
        <v>5600.4679999999998</v>
      </c>
      <c r="T154" s="7">
        <v>0.9446</v>
      </c>
      <c r="U154" s="3">
        <v>7547</v>
      </c>
      <c r="V154" s="24">
        <v>7989.8109999999997</v>
      </c>
      <c r="W154" s="89">
        <v>10153</v>
      </c>
      <c r="X154" s="7">
        <f t="shared" si="307"/>
        <v>0.38805049097579086</v>
      </c>
      <c r="Y154" s="24">
        <v>26164.120999999999</v>
      </c>
      <c r="Z154" s="22">
        <v>1.0395010395010396E-2</v>
      </c>
      <c r="AA154" s="17">
        <v>10</v>
      </c>
      <c r="AB154" s="77">
        <v>962</v>
      </c>
      <c r="AC154" s="35">
        <v>0.30523656407900779</v>
      </c>
      <c r="AD154" s="17">
        <v>94.928571428571431</v>
      </c>
      <c r="AE154" s="53">
        <v>311</v>
      </c>
      <c r="AF154" s="14">
        <v>0.89830253868108767</v>
      </c>
      <c r="AG154" s="17">
        <v>427.14285714285717</v>
      </c>
      <c r="AH154" s="50">
        <v>475.5</v>
      </c>
      <c r="AI154" s="63">
        <v>532.07142857142856</v>
      </c>
      <c r="AJ154" s="7">
        <v>0.30430164630908124</v>
      </c>
      <c r="AK154" s="26">
        <v>1748.5</v>
      </c>
      <c r="AL154" s="93">
        <v>12204.071428571429</v>
      </c>
      <c r="AM154" s="7">
        <v>0.37453470545419049</v>
      </c>
      <c r="AN154" s="3">
        <v>32584.620999999999</v>
      </c>
      <c r="AO154" s="7">
        <f t="shared" si="326"/>
        <v>8.9938000641767383E-3</v>
      </c>
      <c r="AP154" s="7">
        <f t="shared" si="237"/>
        <v>0.43660691438339644</v>
      </c>
      <c r="AQ154" s="94">
        <f t="shared" si="238"/>
        <v>0.94218797890138872</v>
      </c>
    </row>
    <row r="155" spans="1:43" x14ac:dyDescent="0.15">
      <c r="A155" s="147">
        <v>39114</v>
      </c>
      <c r="B155" s="79">
        <v>7.7651313690032973E-3</v>
      </c>
      <c r="C155" s="11">
        <v>20.857142857142858</v>
      </c>
      <c r="D155" s="11">
        <v>2686</v>
      </c>
      <c r="E155" s="80">
        <v>0.434</v>
      </c>
      <c r="F155" s="81">
        <v>578.71428571428567</v>
      </c>
      <c r="G155" s="82">
        <v>1474</v>
      </c>
      <c r="H155" s="30">
        <v>0.85846438482886211</v>
      </c>
      <c r="I155" s="72">
        <v>928</v>
      </c>
      <c r="J155" s="24">
        <v>1081</v>
      </c>
      <c r="K155" s="88">
        <v>1527.5714285714287</v>
      </c>
      <c r="L155" s="30">
        <v>0.29146564178046719</v>
      </c>
      <c r="M155" s="27">
        <v>5241</v>
      </c>
      <c r="N155" s="25">
        <v>7.9627071570264555E-3</v>
      </c>
      <c r="O155" s="3">
        <v>113</v>
      </c>
      <c r="P155" s="17">
        <v>14197.683999999999</v>
      </c>
      <c r="Q155" s="49">
        <v>0.4410063484200204</v>
      </c>
      <c r="R155" s="74">
        <v>2599</v>
      </c>
      <c r="S155" s="37">
        <v>5894.38</v>
      </c>
      <c r="T155" s="7">
        <v>0.94510000000000005</v>
      </c>
      <c r="U155" s="3">
        <v>7993</v>
      </c>
      <c r="V155" s="24">
        <v>8457.259</v>
      </c>
      <c r="W155" s="89">
        <v>10705</v>
      </c>
      <c r="X155" s="14">
        <v>0.37496510862972132</v>
      </c>
      <c r="Y155" s="24">
        <v>28549.322999999997</v>
      </c>
      <c r="Z155" s="22">
        <v>1.4746678347203973E-2</v>
      </c>
      <c r="AA155" s="17">
        <v>13.03225806451613</v>
      </c>
      <c r="AB155" s="77">
        <v>883.74193548387098</v>
      </c>
      <c r="AC155" s="35">
        <v>0.33104799216454456</v>
      </c>
      <c r="AD155" s="17">
        <v>109.03225806451613</v>
      </c>
      <c r="AE155" s="53">
        <v>329.35483870967744</v>
      </c>
      <c r="AF155" s="14">
        <v>0.88524018685072847</v>
      </c>
      <c r="AG155" s="17">
        <v>409.58064516129031</v>
      </c>
      <c r="AH155" s="85">
        <v>462.67741935483872</v>
      </c>
      <c r="AI155" s="63">
        <v>531.64516129032256</v>
      </c>
      <c r="AJ155" s="7">
        <v>0.31725346012435274</v>
      </c>
      <c r="AK155" s="26">
        <v>1675.7741935483871</v>
      </c>
      <c r="AL155" s="93">
        <v>12764.216589861751</v>
      </c>
      <c r="AM155" s="7">
        <v>0.35989910364830563</v>
      </c>
      <c r="AN155" s="3">
        <v>35466.097193548383</v>
      </c>
      <c r="AO155" s="7">
        <f t="shared" si="326"/>
        <v>8.267342802217718E-3</v>
      </c>
      <c r="AP155" s="7">
        <f t="shared" si="237"/>
        <v>0.42697580686343028</v>
      </c>
      <c r="AQ155" s="94">
        <f t="shared" si="238"/>
        <v>0.9329706993340936</v>
      </c>
    </row>
    <row r="156" spans="1:43" x14ac:dyDescent="0.15">
      <c r="A156" s="147">
        <v>39083</v>
      </c>
      <c r="B156" s="22">
        <v>7.7073648152679222E-3</v>
      </c>
      <c r="C156" s="17">
        <v>18</v>
      </c>
      <c r="D156" s="6">
        <v>2335.4285714285716</v>
      </c>
      <c r="E156" s="35">
        <v>0.36260679515199684</v>
      </c>
      <c r="F156" s="17">
        <v>541.14285714285711</v>
      </c>
      <c r="G156" s="36">
        <v>1438</v>
      </c>
      <c r="H156" s="30">
        <v>0.90938089024213431</v>
      </c>
      <c r="I156" s="72">
        <v>825</v>
      </c>
      <c r="J156" s="27">
        <v>985.28571428571433</v>
      </c>
      <c r="K156" s="88">
        <v>1384.1428571428571</v>
      </c>
      <c r="L156" s="30">
        <v>0.29086487946924433</v>
      </c>
      <c r="M156" s="27">
        <v>4758.7142857142862</v>
      </c>
      <c r="N156" s="25">
        <v>3.5999999999999999E-3</v>
      </c>
      <c r="O156" s="3">
        <v>99</v>
      </c>
      <c r="P156" s="17">
        <v>13074</v>
      </c>
      <c r="Q156" s="48">
        <v>0.436</v>
      </c>
      <c r="R156" s="75">
        <v>2338</v>
      </c>
      <c r="S156" s="37">
        <v>5362</v>
      </c>
      <c r="T156" s="8">
        <v>0.94599999999999995</v>
      </c>
      <c r="U156" s="6">
        <v>7426</v>
      </c>
      <c r="V156" s="24">
        <v>7853</v>
      </c>
      <c r="W156" s="89">
        <v>9863</v>
      </c>
      <c r="X156" s="14">
        <v>0.37517592909581954</v>
      </c>
      <c r="Y156" s="24">
        <v>26289</v>
      </c>
      <c r="Z156" s="22">
        <v>1.4953420494982208E-2</v>
      </c>
      <c r="AA156" s="17">
        <v>12.064516129032258</v>
      </c>
      <c r="AB156" s="77">
        <v>806.80645161290317</v>
      </c>
      <c r="AC156" s="35">
        <v>0.3549047963364666</v>
      </c>
      <c r="AD156" s="17">
        <v>95</v>
      </c>
      <c r="AE156" s="53">
        <v>267.67741935483872</v>
      </c>
      <c r="AF156" s="14">
        <v>0.89130591370741208</v>
      </c>
      <c r="AG156" s="76">
        <v>399.16129032258067</v>
      </c>
      <c r="AH156" s="86">
        <v>447.83870967741933</v>
      </c>
      <c r="AI156" s="63">
        <v>506.22580645161293</v>
      </c>
      <c r="AJ156" s="7">
        <v>0.33253517545346672</v>
      </c>
      <c r="AK156" s="26">
        <v>1522.3225806451612</v>
      </c>
      <c r="AL156" s="93">
        <v>11753.36866359447</v>
      </c>
      <c r="AM156" s="7">
        <v>0.36086445685709828</v>
      </c>
      <c r="AN156" s="3">
        <v>32570.036866359449</v>
      </c>
      <c r="AO156" s="7">
        <f t="shared" si="326"/>
        <v>7.9589692641754296E-3</v>
      </c>
      <c r="AP156" s="7">
        <f t="shared" si="237"/>
        <v>0.42080908347601786</v>
      </c>
      <c r="AQ156" s="94">
        <f t="shared" si="238"/>
        <v>0.93151468744060439</v>
      </c>
    </row>
    <row r="157" spans="1:43" x14ac:dyDescent="0.15">
      <c r="A157" s="147">
        <v>39052</v>
      </c>
      <c r="B157" s="22">
        <v>8.0425558862643274E-3</v>
      </c>
      <c r="C157" s="17">
        <v>18.142857142857142</v>
      </c>
      <c r="D157" s="6">
        <v>2255.8571428571427</v>
      </c>
      <c r="E157" s="35">
        <v>0.41196302338227297</v>
      </c>
      <c r="F157" s="17">
        <v>496.28571428571428</v>
      </c>
      <c r="G157" s="36">
        <v>1313.5714285714287</v>
      </c>
      <c r="H157" s="30">
        <v>0.91089406461307287</v>
      </c>
      <c r="I157" s="72">
        <v>860</v>
      </c>
      <c r="J157" s="27">
        <v>950.71428571428567</v>
      </c>
      <c r="K157" s="88">
        <v>1374.4285714285713</v>
      </c>
      <c r="L157" s="30">
        <v>0.30406750734806104</v>
      </c>
      <c r="M157" s="27">
        <v>4520.1428571428569</v>
      </c>
      <c r="N157" s="25">
        <v>3.5000000000000001E-3</v>
      </c>
      <c r="O157" s="3">
        <v>92</v>
      </c>
      <c r="P157" s="17">
        <v>11614.487999999999</v>
      </c>
      <c r="Q157" s="48">
        <v>0.41099999999999998</v>
      </c>
      <c r="R157" s="12">
        <v>2230</v>
      </c>
      <c r="S157" s="37">
        <v>5423.5959999999995</v>
      </c>
      <c r="T157" s="8">
        <v>0.90400000000000003</v>
      </c>
      <c r="U157" s="6">
        <v>7259</v>
      </c>
      <c r="V157" s="24">
        <v>8029.2870000000003</v>
      </c>
      <c r="W157" s="89">
        <v>9581</v>
      </c>
      <c r="X157" s="14">
        <v>0.38221000518961484</v>
      </c>
      <c r="Y157" s="24">
        <v>25067.370999999999</v>
      </c>
      <c r="Z157" s="22">
        <v>1.573302605920936E-2</v>
      </c>
      <c r="AA157" s="17">
        <v>11.833333333333334</v>
      </c>
      <c r="AB157" s="4">
        <v>752.13333333333333</v>
      </c>
      <c r="AC157" s="35">
        <v>0.31557734204793025</v>
      </c>
      <c r="AD157" s="17">
        <v>96.566666666666663</v>
      </c>
      <c r="AE157" s="40">
        <v>306</v>
      </c>
      <c r="AF157" s="14">
        <v>0.88327566320645901</v>
      </c>
      <c r="AG157" s="17">
        <v>382.9</v>
      </c>
      <c r="AH157" s="85">
        <v>433.5</v>
      </c>
      <c r="AI157" s="63">
        <v>491.3</v>
      </c>
      <c r="AJ157" s="7">
        <v>0.32937048872600505</v>
      </c>
      <c r="AK157" s="26">
        <v>1491.6333333333332</v>
      </c>
      <c r="AL157" s="93">
        <v>11446.72857142857</v>
      </c>
      <c r="AM157" s="7">
        <v>0.36830896617833442</v>
      </c>
      <c r="AN157" s="3">
        <v>31079.147190476186</v>
      </c>
      <c r="AO157" s="7">
        <f t="shared" si="326"/>
        <v>8.3416905468387016E-3</v>
      </c>
      <c r="AP157" s="7">
        <f t="shared" si="237"/>
        <v>0.40079302523764404</v>
      </c>
      <c r="AQ157" s="94">
        <f t="shared" si="238"/>
        <v>0.90316023145418678</v>
      </c>
    </row>
    <row r="158" spans="1:43" x14ac:dyDescent="0.15">
      <c r="A158" s="147">
        <v>39022</v>
      </c>
      <c r="B158" s="22">
        <v>7.9084967320261438E-3</v>
      </c>
      <c r="C158" s="17">
        <v>17.285714285714285</v>
      </c>
      <c r="D158" s="6">
        <v>2185.7142857142858</v>
      </c>
      <c r="E158" s="35">
        <v>0.40009213405505012</v>
      </c>
      <c r="F158" s="17">
        <v>472.28571428571428</v>
      </c>
      <c r="G158" s="36">
        <v>1240.4285714285713</v>
      </c>
      <c r="H158" s="30">
        <v>0.92391792721282018</v>
      </c>
      <c r="I158" s="72">
        <v>903</v>
      </c>
      <c r="J158" s="27">
        <v>953.85714285714289</v>
      </c>
      <c r="K158" s="88">
        <v>1392.5714285714284</v>
      </c>
      <c r="L158" s="30">
        <v>0.31793868232224393</v>
      </c>
      <c r="M158" s="27">
        <v>4380</v>
      </c>
      <c r="N158" s="25">
        <v>3.5000000000000001E-3</v>
      </c>
      <c r="O158" s="3">
        <v>79</v>
      </c>
      <c r="P158" s="17">
        <v>10809.701999999999</v>
      </c>
      <c r="Q158" s="48">
        <v>0.39200000000000002</v>
      </c>
      <c r="R158" s="75">
        <v>2158</v>
      </c>
      <c r="S158" s="37">
        <v>5497.9920000000002</v>
      </c>
      <c r="T158" s="8">
        <v>0.90900000000000003</v>
      </c>
      <c r="U158" s="6">
        <v>8056</v>
      </c>
      <c r="V158" s="24">
        <v>8858.6650000000009</v>
      </c>
      <c r="W158" s="89">
        <v>10293</v>
      </c>
      <c r="X158" s="14">
        <v>0.40899837755632429</v>
      </c>
      <c r="Y158" s="24">
        <v>25166.359</v>
      </c>
      <c r="Z158" s="22">
        <v>1.8080798568603444E-2</v>
      </c>
      <c r="AA158" s="17">
        <v>12.387096774193548</v>
      </c>
      <c r="AB158" s="4">
        <v>685.09677419354841</v>
      </c>
      <c r="AC158" s="35">
        <v>0.31967735088091698</v>
      </c>
      <c r="AD158" s="17">
        <v>97.161290322580641</v>
      </c>
      <c r="AE158" s="40">
        <v>303.93548387096774</v>
      </c>
      <c r="AF158" s="14">
        <v>0.88824962772438065</v>
      </c>
      <c r="AG158" s="17">
        <v>423.32258064516128</v>
      </c>
      <c r="AH158" s="85">
        <v>476.58064516129031</v>
      </c>
      <c r="AI158" s="63">
        <v>532.87096774193549</v>
      </c>
      <c r="AJ158" s="7">
        <v>0.36358233921732624</v>
      </c>
      <c r="AK158" s="26">
        <v>1465.6129032258063</v>
      </c>
      <c r="AL158" s="93">
        <v>12218.442396313363</v>
      </c>
      <c r="AM158" s="7">
        <v>0.39399114749753866</v>
      </c>
      <c r="AN158" s="3">
        <v>31011.971903225807</v>
      </c>
      <c r="AO158" s="7">
        <f t="shared" si="326"/>
        <v>7.9436210165527207E-3</v>
      </c>
      <c r="AP158" s="7">
        <f t="shared" si="237"/>
        <v>0.38729183574236159</v>
      </c>
      <c r="AQ158" s="94">
        <f t="shared" si="238"/>
        <v>0.91186984656920622</v>
      </c>
    </row>
    <row r="159" spans="1:43" x14ac:dyDescent="0.15">
      <c r="A159" s="147">
        <v>38991</v>
      </c>
      <c r="B159" s="22">
        <v>8.1135902636916835E-3</v>
      </c>
      <c r="C159" s="17">
        <v>17.142857142857142</v>
      </c>
      <c r="D159" s="6">
        <v>2112.8571428571427</v>
      </c>
      <c r="E159" s="35">
        <v>0.38184338184338185</v>
      </c>
      <c r="F159" s="17">
        <v>501.14285714285717</v>
      </c>
      <c r="G159" s="36">
        <v>1236.8571428571429</v>
      </c>
      <c r="H159" s="30">
        <v>0.87066503467972256</v>
      </c>
      <c r="I159" s="72">
        <v>851</v>
      </c>
      <c r="J159" s="27">
        <v>1050.4285714285713</v>
      </c>
      <c r="K159" s="88">
        <v>1369.2857142857142</v>
      </c>
      <c r="L159" s="30">
        <v>0.31119119509106846</v>
      </c>
      <c r="M159" s="27">
        <v>4400.1428571428569</v>
      </c>
      <c r="N159" s="25">
        <v>3.5000000000000001E-3</v>
      </c>
      <c r="O159" s="3">
        <v>70</v>
      </c>
      <c r="P159" s="17">
        <v>10464.18</v>
      </c>
      <c r="Q159" s="48">
        <v>0.371</v>
      </c>
      <c r="R159" s="75">
        <v>2013</v>
      </c>
      <c r="S159" s="37">
        <v>5424.3320000000003</v>
      </c>
      <c r="T159" s="8">
        <v>0.91200000000000003</v>
      </c>
      <c r="U159" s="6">
        <v>7761</v>
      </c>
      <c r="V159" s="24">
        <v>8513.0849999999991</v>
      </c>
      <c r="W159" s="89">
        <v>9844</v>
      </c>
      <c r="X159" s="14">
        <v>0.40341621902861519</v>
      </c>
      <c r="Y159" s="24">
        <v>24401.597000000002</v>
      </c>
      <c r="Z159" s="22">
        <v>1.7050912584053796E-2</v>
      </c>
      <c r="AA159" s="17">
        <v>11.833333333333334</v>
      </c>
      <c r="AB159" s="3">
        <v>694</v>
      </c>
      <c r="AC159" s="35">
        <v>0.30677379756723583</v>
      </c>
      <c r="AD159" s="17">
        <v>91.63333333333334</v>
      </c>
      <c r="AE159" s="40">
        <v>298.7</v>
      </c>
      <c r="AF159" s="14">
        <v>0.88684405025868429</v>
      </c>
      <c r="AG159" s="17">
        <v>399.96666666666664</v>
      </c>
      <c r="AH159" s="26">
        <v>451</v>
      </c>
      <c r="AI159" s="63">
        <v>503.43333333333328</v>
      </c>
      <c r="AJ159" s="7">
        <v>0.34871048925215298</v>
      </c>
      <c r="AK159" s="26">
        <v>1443.7</v>
      </c>
      <c r="AL159" s="93">
        <v>11716.719047619046</v>
      </c>
      <c r="AM159" s="7">
        <v>0.387387953455469</v>
      </c>
      <c r="AN159" s="3">
        <v>30245.439857142861</v>
      </c>
      <c r="AO159" s="7">
        <f t="shared" si="326"/>
        <v>7.458059939909242E-3</v>
      </c>
      <c r="AP159" s="7">
        <f t="shared" si="237"/>
        <v>0.37439909415087014</v>
      </c>
      <c r="AQ159" s="94">
        <f t="shared" si="238"/>
        <v>0.89989060401074583</v>
      </c>
    </row>
    <row r="160" spans="1:43" x14ac:dyDescent="0.15">
      <c r="A160" s="147">
        <v>38961</v>
      </c>
      <c r="B160" s="22">
        <v>9.7439688192997795E-3</v>
      </c>
      <c r="C160" s="17">
        <v>20.714285714285715</v>
      </c>
      <c r="D160" s="6">
        <v>2125.8571428571427</v>
      </c>
      <c r="E160" s="35">
        <v>0.3858336999560053</v>
      </c>
      <c r="F160" s="17">
        <v>581.85714285714289</v>
      </c>
      <c r="G160" s="36">
        <v>1298.8571428571429</v>
      </c>
      <c r="H160" s="30">
        <v>0.5483735277621985</v>
      </c>
      <c r="I160" s="72">
        <v>520</v>
      </c>
      <c r="J160" s="27">
        <v>1018.8571428571429</v>
      </c>
      <c r="K160" s="88">
        <v>1122.5714285714287</v>
      </c>
      <c r="L160" s="30">
        <v>0.2526281948239833</v>
      </c>
      <c r="M160" s="27">
        <v>4443.5714285714284</v>
      </c>
      <c r="N160" s="25">
        <v>3.3999999999999998E-3</v>
      </c>
      <c r="O160" s="3">
        <v>68</v>
      </c>
      <c r="P160" s="17">
        <v>11090.11</v>
      </c>
      <c r="Q160" s="48">
        <v>0.35799999999999998</v>
      </c>
      <c r="R160" s="75">
        <v>1948</v>
      </c>
      <c r="S160" s="37">
        <v>5445.0940000000001</v>
      </c>
      <c r="T160" s="8">
        <v>0.9</v>
      </c>
      <c r="U160" s="6">
        <v>8173</v>
      </c>
      <c r="V160" s="24">
        <v>9076.8729999999996</v>
      </c>
      <c r="W160" s="89">
        <v>10189</v>
      </c>
      <c r="X160" s="14">
        <v>0.39782013774205033</v>
      </c>
      <c r="Y160" s="24">
        <v>25612.077000000001</v>
      </c>
      <c r="Z160" s="22">
        <v>1.6342338938220291E-2</v>
      </c>
      <c r="AA160" s="17">
        <v>11.161290322580646</v>
      </c>
      <c r="AB160" s="3">
        <v>682.9677419354839</v>
      </c>
      <c r="AC160" s="35">
        <v>0.32748600947051226</v>
      </c>
      <c r="AD160" s="17">
        <v>98.161290322580641</v>
      </c>
      <c r="AE160" s="40">
        <v>299.74193548387098</v>
      </c>
      <c r="AF160" s="14">
        <v>0.8459821428571429</v>
      </c>
      <c r="AG160" s="17">
        <v>379</v>
      </c>
      <c r="AH160" s="26">
        <v>448</v>
      </c>
      <c r="AI160" s="63">
        <v>488.32258064516128</v>
      </c>
      <c r="AJ160" s="7">
        <v>0.34131493506493504</v>
      </c>
      <c r="AK160" s="26">
        <v>1430.7096774193549</v>
      </c>
      <c r="AL160" s="93">
        <v>11799.89400921659</v>
      </c>
      <c r="AM160" s="7">
        <v>0.3747621102921862</v>
      </c>
      <c r="AN160" s="3">
        <v>31486.358105990785</v>
      </c>
      <c r="AO160" s="7">
        <f t="shared" si="326"/>
        <v>7.1858438696726446E-3</v>
      </c>
      <c r="AP160" s="7">
        <f t="shared" si="237"/>
        <v>0.37310234900222189</v>
      </c>
      <c r="AQ160" s="94">
        <f t="shared" si="238"/>
        <v>0.86041655818987672</v>
      </c>
    </row>
    <row r="161" spans="1:43" x14ac:dyDescent="0.15">
      <c r="A161" s="147">
        <v>38930</v>
      </c>
      <c r="B161" s="22">
        <v>7.5166723182999882E-3</v>
      </c>
      <c r="C161" s="17">
        <v>19</v>
      </c>
      <c r="D161" s="6">
        <v>2527.7142857142858</v>
      </c>
      <c r="E161" s="35">
        <v>0.3813670411985019</v>
      </c>
      <c r="F161" s="17">
        <v>508.85714285714283</v>
      </c>
      <c r="G161" s="36">
        <v>1525.7142857142858</v>
      </c>
      <c r="H161" s="30">
        <v>0.62674418604651161</v>
      </c>
      <c r="I161" s="72">
        <v>697</v>
      </c>
      <c r="J161" s="27">
        <v>1105.7142857142858</v>
      </c>
      <c r="K161" s="88">
        <v>1224.8571428571429</v>
      </c>
      <c r="L161" s="30">
        <v>0.23741485296560894</v>
      </c>
      <c r="M161" s="27">
        <v>5159.1428571428569</v>
      </c>
      <c r="N161" s="25">
        <v>3.3999999999999998E-3</v>
      </c>
      <c r="O161" s="3">
        <v>93</v>
      </c>
      <c r="P161" s="17">
        <v>13947.468999999999</v>
      </c>
      <c r="Q161" s="48">
        <v>0.36499999999999999</v>
      </c>
      <c r="R161" s="75">
        <v>2503</v>
      </c>
      <c r="S161" s="37">
        <v>6853.8739999999998</v>
      </c>
      <c r="T161" s="8">
        <v>0.88700000000000001</v>
      </c>
      <c r="U161" s="6">
        <v>8205</v>
      </c>
      <c r="V161" s="24">
        <v>9250.5329999999994</v>
      </c>
      <c r="W161" s="89">
        <v>10801</v>
      </c>
      <c r="X161" s="14">
        <v>0.35941183838240254</v>
      </c>
      <c r="Y161" s="24">
        <v>30051.875999999997</v>
      </c>
      <c r="Z161" s="22">
        <v>1.5813788201847902E-2</v>
      </c>
      <c r="AA161" s="17">
        <v>11.483870967741936</v>
      </c>
      <c r="AB161" s="3">
        <v>726.19354838709683</v>
      </c>
      <c r="AC161" s="35">
        <v>0.33033636555955154</v>
      </c>
      <c r="AD161" s="17">
        <v>100.74193548387096</v>
      </c>
      <c r="AE161" s="40">
        <v>304.96774193548384</v>
      </c>
      <c r="AF161" s="14">
        <v>0.90436962750716332</v>
      </c>
      <c r="AG161" s="17">
        <v>407.25806451612902</v>
      </c>
      <c r="AH161" s="26">
        <v>450.32258064516128</v>
      </c>
      <c r="AI161" s="63">
        <v>519.48387096774195</v>
      </c>
      <c r="AJ161" s="7">
        <v>0.35065104733702041</v>
      </c>
      <c r="AK161" s="26">
        <v>1481.483870967742</v>
      </c>
      <c r="AL161" s="93">
        <v>12545.341013824886</v>
      </c>
      <c r="AM161" s="7">
        <v>0.3419047511363606</v>
      </c>
      <c r="AN161" s="3">
        <v>36692.502728110594</v>
      </c>
      <c r="AO161" s="7">
        <f t="shared" si="326"/>
        <v>7.178720177964921E-3</v>
      </c>
      <c r="AP161" s="7">
        <f t="shared" si="237"/>
        <v>0.35840624073713884</v>
      </c>
      <c r="AQ161" s="94">
        <f t="shared" si="238"/>
        <v>0.86144430468132094</v>
      </c>
    </row>
    <row r="162" spans="1:43" x14ac:dyDescent="0.15">
      <c r="A162" s="147">
        <v>38899</v>
      </c>
      <c r="B162" s="22">
        <v>7.8251148925599298E-3</v>
      </c>
      <c r="C162" s="17">
        <v>18</v>
      </c>
      <c r="D162" s="6">
        <v>2300.2857142857142</v>
      </c>
      <c r="E162" s="35">
        <v>0.36619718309859156</v>
      </c>
      <c r="F162" s="17">
        <v>451</v>
      </c>
      <c r="G162" s="36">
        <v>1389.5714285714287</v>
      </c>
      <c r="H162" s="30">
        <v>0.63446366782006924</v>
      </c>
      <c r="I162" s="72">
        <v>648</v>
      </c>
      <c r="J162" s="27">
        <v>1032.1428571428571</v>
      </c>
      <c r="K162" s="88">
        <v>1117</v>
      </c>
      <c r="L162" s="30">
        <v>0.23655230834392207</v>
      </c>
      <c r="M162" s="27">
        <v>4722</v>
      </c>
      <c r="N162" s="25">
        <v>3.3E-3</v>
      </c>
      <c r="O162" s="3">
        <v>82</v>
      </c>
      <c r="P162" s="17">
        <v>11912.298000000001</v>
      </c>
      <c r="Q162" s="48">
        <v>0.375</v>
      </c>
      <c r="R162" s="75">
        <v>2332</v>
      </c>
      <c r="S162" s="37">
        <v>6215.3310000000001</v>
      </c>
      <c r="T162" s="8">
        <v>0.875</v>
      </c>
      <c r="U162" s="6">
        <v>7763</v>
      </c>
      <c r="V162" s="24">
        <v>8869.1470000000008</v>
      </c>
      <c r="W162" s="89">
        <v>10177</v>
      </c>
      <c r="X162" s="14">
        <v>0.3769709390484256</v>
      </c>
      <c r="Y162" s="24">
        <v>26996.776000000002</v>
      </c>
      <c r="Z162" s="22">
        <v>1.7408033033033034E-2</v>
      </c>
      <c r="AA162" s="17">
        <v>12.366666666666667</v>
      </c>
      <c r="AB162" s="3">
        <v>710.4</v>
      </c>
      <c r="AC162" s="35">
        <v>0.3582443653618031</v>
      </c>
      <c r="AD162" s="17">
        <v>100.66666666666667</v>
      </c>
      <c r="AE162" s="40">
        <v>281</v>
      </c>
      <c r="AF162" s="14">
        <v>0.89564852971991338</v>
      </c>
      <c r="AG162" s="17">
        <v>427.43333333333334</v>
      </c>
      <c r="AH162" s="26">
        <v>477.23333333333335</v>
      </c>
      <c r="AI162" s="63">
        <v>540.4666666666667</v>
      </c>
      <c r="AJ162" s="7">
        <v>0.36800653668943922</v>
      </c>
      <c r="AK162" s="26">
        <v>1468.6333333333332</v>
      </c>
      <c r="AL162" s="93">
        <v>11834.466666666667</v>
      </c>
      <c r="AM162" s="7">
        <v>0.35659507338465746</v>
      </c>
      <c r="AN162" s="3">
        <v>33187.409333333337</v>
      </c>
      <c r="AO162" s="7">
        <f t="shared" si="326"/>
        <v>7.5297721164902503E-3</v>
      </c>
      <c r="AP162" s="7">
        <f t="shared" si="237"/>
        <v>0.36567364265361035</v>
      </c>
      <c r="AQ162" s="94">
        <f t="shared" si="238"/>
        <v>0.85160799577380009</v>
      </c>
    </row>
    <row r="163" spans="1:43" x14ac:dyDescent="0.15">
      <c r="A163" s="147">
        <v>38869</v>
      </c>
      <c r="B163" s="22">
        <v>7.7839774058000967E-3</v>
      </c>
      <c r="C163" s="17">
        <v>16.142857142857142</v>
      </c>
      <c r="D163" s="6">
        <v>2073.8571428571427</v>
      </c>
      <c r="E163" s="35">
        <v>0.36812033582089554</v>
      </c>
      <c r="F163" s="17">
        <v>427.42857142857144</v>
      </c>
      <c r="G163" s="36">
        <v>1225.1428571428571</v>
      </c>
      <c r="H163" s="30">
        <v>0.56648284313725494</v>
      </c>
      <c r="I163" s="72">
        <v>583</v>
      </c>
      <c r="J163" s="27">
        <v>932.57142857142856</v>
      </c>
      <c r="K163" s="88">
        <v>1026.5714285714287</v>
      </c>
      <c r="L163" s="30">
        <v>0.24259815671314272</v>
      </c>
      <c r="M163" s="27">
        <v>4231.5714285714284</v>
      </c>
      <c r="N163" s="25">
        <v>3.3E-3</v>
      </c>
      <c r="O163" s="3">
        <v>73</v>
      </c>
      <c r="P163" s="17">
        <v>10478.114</v>
      </c>
      <c r="Q163" s="48">
        <v>0.374</v>
      </c>
      <c r="R163" s="75">
        <v>1977</v>
      </c>
      <c r="S163" s="37">
        <v>5285.7830000000004</v>
      </c>
      <c r="T163" s="8">
        <v>0.871</v>
      </c>
      <c r="U163" s="6">
        <v>6797</v>
      </c>
      <c r="V163" s="24">
        <v>7805.2619999999997</v>
      </c>
      <c r="W163" s="89">
        <v>8847</v>
      </c>
      <c r="X163" s="14">
        <v>0.37536341453676814</v>
      </c>
      <c r="Y163" s="24">
        <v>23569.159</v>
      </c>
      <c r="Z163" s="22">
        <v>1.8538379040907001E-2</v>
      </c>
      <c r="AA163" s="17">
        <v>11.709677419354838</v>
      </c>
      <c r="AB163" s="3">
        <v>631.64516129032256</v>
      </c>
      <c r="AC163" s="35">
        <v>0.35787923416789397</v>
      </c>
      <c r="AD163" s="17">
        <v>101.90322580645162</v>
      </c>
      <c r="AE163" s="40">
        <v>284.74193548387098</v>
      </c>
      <c r="AF163" s="14">
        <v>0.89043341420234745</v>
      </c>
      <c r="AG163" s="17">
        <v>438.06451612903226</v>
      </c>
      <c r="AH163" s="26">
        <v>491.96774193548384</v>
      </c>
      <c r="AI163" s="63">
        <v>551.67741935483878</v>
      </c>
      <c r="AJ163" s="7">
        <v>0.3917176298128679</v>
      </c>
      <c r="AK163" s="26">
        <v>1408.3548387096776</v>
      </c>
      <c r="AL163" s="93">
        <v>10425.248847926268</v>
      </c>
      <c r="AM163" s="7">
        <v>0.35691801891530756</v>
      </c>
      <c r="AN163" s="3">
        <v>29209.085267281105</v>
      </c>
      <c r="AO163" s="7">
        <f t="shared" si="326"/>
        <v>7.6498384233531233E-3</v>
      </c>
      <c r="AP163" s="7">
        <f t="shared" si="237"/>
        <v>0.36881317240880768</v>
      </c>
      <c r="AQ163" s="94">
        <f t="shared" si="238"/>
        <v>0.8470458216490111</v>
      </c>
    </row>
    <row r="164" spans="1:43" x14ac:dyDescent="0.15">
      <c r="A164" s="147">
        <v>38838</v>
      </c>
      <c r="B164" s="22">
        <v>8.5145309971149108E-3</v>
      </c>
      <c r="C164" s="17">
        <v>17.285714285714285</v>
      </c>
      <c r="D164" s="6">
        <v>2030.1428571428571</v>
      </c>
      <c r="E164" s="35">
        <v>0.35530222063887901</v>
      </c>
      <c r="F164" s="17">
        <v>399</v>
      </c>
      <c r="G164" s="36">
        <v>1203</v>
      </c>
      <c r="H164" s="30">
        <v>0.55179192499621954</v>
      </c>
      <c r="I164" s="72">
        <v>469</v>
      </c>
      <c r="J164" s="27">
        <v>944.71428571428567</v>
      </c>
      <c r="K164" s="88">
        <v>885.28571428571433</v>
      </c>
      <c r="L164" s="30">
        <v>0.21189946999487091</v>
      </c>
      <c r="M164" s="27">
        <v>4177.8571428571431</v>
      </c>
      <c r="N164" s="25">
        <v>3.2000000000000002E-3</v>
      </c>
      <c r="O164" s="3">
        <v>66</v>
      </c>
      <c r="P164" s="17">
        <v>10156.718999999999</v>
      </c>
      <c r="Q164" s="48">
        <v>0.372</v>
      </c>
      <c r="R164" s="75">
        <v>1869</v>
      </c>
      <c r="S164" s="37">
        <v>5023.6139999999996</v>
      </c>
      <c r="T164" s="8">
        <v>0.877</v>
      </c>
      <c r="U164" s="6">
        <v>7218</v>
      </c>
      <c r="V164" s="24">
        <v>8229.5920000000006</v>
      </c>
      <c r="W164" s="89">
        <v>9153</v>
      </c>
      <c r="X164" s="14">
        <v>0.39098801042720127</v>
      </c>
      <c r="Y164" s="24">
        <v>23409.924999999999</v>
      </c>
      <c r="Z164" s="22">
        <v>4.8665414354986676E-2</v>
      </c>
      <c r="AA164" s="17">
        <v>37.133333333333333</v>
      </c>
      <c r="AB164" s="3">
        <v>763.0333333333333</v>
      </c>
      <c r="AC164" s="35">
        <v>0.34655588314124902</v>
      </c>
      <c r="AD164" s="17">
        <v>86.2</v>
      </c>
      <c r="AE164" s="40">
        <v>248.73333333333332</v>
      </c>
      <c r="AF164" s="14">
        <v>0.90657359822044947</v>
      </c>
      <c r="AG164" s="17">
        <v>393.96666666666664</v>
      </c>
      <c r="AH164" s="26">
        <v>434.56666666666666</v>
      </c>
      <c r="AI164" s="63">
        <v>517.29999999999995</v>
      </c>
      <c r="AJ164" s="7">
        <v>0.35766305600368747</v>
      </c>
      <c r="AK164" s="26">
        <v>1446.3333333333333</v>
      </c>
      <c r="AL164" s="93">
        <v>10555.585714285713</v>
      </c>
      <c r="AM164" s="7">
        <v>0.36355802617585703</v>
      </c>
      <c r="AN164" s="3">
        <v>29034.115476190476</v>
      </c>
      <c r="AO164" s="7">
        <f t="shared" si="326"/>
        <v>9.2988434151658646E-3</v>
      </c>
      <c r="AP164" s="7">
        <f t="shared" si="237"/>
        <v>0.36356350923157688</v>
      </c>
      <c r="AQ164" s="94">
        <f t="shared" si="238"/>
        <v>0.84099006269661492</v>
      </c>
    </row>
    <row r="165" spans="1:43" x14ac:dyDescent="0.15">
      <c r="A165" s="147">
        <v>38808</v>
      </c>
      <c r="B165" s="22">
        <v>9.3766166580444895E-3</v>
      </c>
      <c r="C165" s="17">
        <v>20.714285714285715</v>
      </c>
      <c r="D165" s="6">
        <v>2209.1428571428573</v>
      </c>
      <c r="E165" s="35">
        <v>0.33646548608601373</v>
      </c>
      <c r="F165" s="17">
        <v>454.71428571428572</v>
      </c>
      <c r="G165" s="36">
        <v>1185.8571428571429</v>
      </c>
      <c r="H165" s="30">
        <v>0.60922094153589779</v>
      </c>
      <c r="I165" s="72">
        <v>596</v>
      </c>
      <c r="J165" s="27">
        <v>1028.7142857142858</v>
      </c>
      <c r="K165" s="88">
        <v>1071.4285714285716</v>
      </c>
      <c r="L165" s="30">
        <v>0.24220112381321449</v>
      </c>
      <c r="M165" s="27">
        <v>4423.7142857142862</v>
      </c>
      <c r="N165" s="25">
        <v>3.2000000000000002E-3</v>
      </c>
      <c r="O165" s="3">
        <v>68</v>
      </c>
      <c r="P165" s="17">
        <v>11042.602999999999</v>
      </c>
      <c r="Q165" s="48">
        <v>0.35899999999999999</v>
      </c>
      <c r="R165" s="75">
        <v>1749</v>
      </c>
      <c r="S165" s="37">
        <v>4870.5190000000002</v>
      </c>
      <c r="T165" s="8">
        <v>0.871</v>
      </c>
      <c r="U165" s="6">
        <v>6917</v>
      </c>
      <c r="V165" s="24">
        <v>7936.91</v>
      </c>
      <c r="W165" s="89">
        <v>8734</v>
      </c>
      <c r="X165" s="14">
        <v>0.36620495938957232</v>
      </c>
      <c r="Y165" s="24">
        <v>23850.031999999999</v>
      </c>
      <c r="Z165" s="22">
        <v>6.6742127177911628E-2</v>
      </c>
      <c r="AA165" s="17">
        <v>53.258064516129032</v>
      </c>
      <c r="AB165" s="4">
        <v>797.9677419354839</v>
      </c>
      <c r="AC165" s="35">
        <v>0.46220181431291291</v>
      </c>
      <c r="AD165" s="17">
        <v>133.12903225806451</v>
      </c>
      <c r="AE165" s="40">
        <v>288.03225806451616</v>
      </c>
      <c r="AF165" s="14">
        <v>0.90869703727301687</v>
      </c>
      <c r="AG165" s="17">
        <v>460.06451612903226</v>
      </c>
      <c r="AH165" s="23">
        <v>506.29032258064518</v>
      </c>
      <c r="AI165" s="63">
        <v>646.45161290322585</v>
      </c>
      <c r="AJ165" s="7">
        <v>0.40598853345758795</v>
      </c>
      <c r="AK165" s="26">
        <v>1592.2903225806454</v>
      </c>
      <c r="AL165" s="93">
        <v>10451.880184331796</v>
      </c>
      <c r="AM165" s="7">
        <v>0.34995872808342143</v>
      </c>
      <c r="AN165" s="3">
        <v>29866.036608294929</v>
      </c>
      <c r="AO165" s="7">
        <f t="shared" si="326"/>
        <v>1.0104999595132539E-2</v>
      </c>
      <c r="AP165" s="7">
        <f t="shared" si="237"/>
        <v>0.36833116191461984</v>
      </c>
      <c r="AQ165" s="94">
        <f t="shared" si="238"/>
        <v>0.84175848768175154</v>
      </c>
    </row>
    <row r="166" spans="1:43" x14ac:dyDescent="0.15">
      <c r="A166" s="147">
        <v>38777</v>
      </c>
      <c r="B166" s="22">
        <v>8.2630691399662726E-3</v>
      </c>
      <c r="C166" s="17">
        <v>21</v>
      </c>
      <c r="D166" s="6">
        <v>2541.4285714285716</v>
      </c>
      <c r="E166" s="35">
        <v>0.33308915864378402</v>
      </c>
      <c r="F166" s="17">
        <v>370.85714285714283</v>
      </c>
      <c r="G166" s="36">
        <v>1365.1428571428571</v>
      </c>
      <c r="H166" s="30">
        <v>0.65924637681159415</v>
      </c>
      <c r="I166" s="72">
        <v>815</v>
      </c>
      <c r="J166" s="27">
        <v>1232.1428571428571</v>
      </c>
      <c r="K166" s="88">
        <v>1206.8571428571429</v>
      </c>
      <c r="L166" s="30">
        <v>0.23485585610630785</v>
      </c>
      <c r="M166" s="27">
        <v>5138.7142857142862</v>
      </c>
      <c r="N166" s="25">
        <v>3.2000000000000002E-3</v>
      </c>
      <c r="O166" s="3">
        <v>73</v>
      </c>
      <c r="P166" s="17">
        <v>13041.478999999999</v>
      </c>
      <c r="Q166" s="48">
        <v>0.34499999999999997</v>
      </c>
      <c r="R166" s="75">
        <v>1953</v>
      </c>
      <c r="S166" s="37">
        <v>5654.9520000000002</v>
      </c>
      <c r="T166" s="8">
        <v>0.84399999999999997</v>
      </c>
      <c r="U166" s="6">
        <v>6930</v>
      </c>
      <c r="V166" s="24">
        <v>8212.0519999999997</v>
      </c>
      <c r="W166" s="89">
        <v>8956</v>
      </c>
      <c r="X166" s="14">
        <v>0.33283184340046224</v>
      </c>
      <c r="Y166" s="24">
        <v>26908.483</v>
      </c>
      <c r="Z166" s="22">
        <v>6.9439161489370696E-2</v>
      </c>
      <c r="AA166" s="17">
        <v>58.678571428571431</v>
      </c>
      <c r="AB166" s="4">
        <v>845.03571428571433</v>
      </c>
      <c r="AC166" s="35">
        <v>0.46205814935456629</v>
      </c>
      <c r="AD166" s="17">
        <v>136.78571428571428</v>
      </c>
      <c r="AE166" s="40">
        <v>296.03571428571428</v>
      </c>
      <c r="AF166" s="14">
        <v>0.90216916581744067</v>
      </c>
      <c r="AG166" s="17">
        <v>442.64285714285717</v>
      </c>
      <c r="AH166" s="23">
        <v>490.64285714285717</v>
      </c>
      <c r="AI166" s="63">
        <v>638.10714285714289</v>
      </c>
      <c r="AJ166" s="7">
        <v>0.39106548765540183</v>
      </c>
      <c r="AK166" s="26">
        <v>1631.7142857142858</v>
      </c>
      <c r="AL166" s="93">
        <v>10800.964285714286</v>
      </c>
      <c r="AM166" s="7">
        <v>0.32070407806400902</v>
      </c>
      <c r="AN166" s="3">
        <v>33678.911571428573</v>
      </c>
      <c r="AO166" s="7">
        <f t="shared" si="326"/>
        <v>9.2938336085771917E-3</v>
      </c>
      <c r="AP166" s="7">
        <f t="shared" si="237"/>
        <v>0.3363311839666065</v>
      </c>
      <c r="AQ166" s="94">
        <f t="shared" si="238"/>
        <v>0.82413453471610387</v>
      </c>
    </row>
    <row r="167" spans="1:43" x14ac:dyDescent="0.15">
      <c r="A167" s="147">
        <v>38749</v>
      </c>
      <c r="B167" s="22">
        <v>8.5120495246517811E-3</v>
      </c>
      <c r="C167" s="17">
        <v>22</v>
      </c>
      <c r="D167" s="6">
        <v>2584.5714285714284</v>
      </c>
      <c r="E167" s="35">
        <v>0.31149508039356849</v>
      </c>
      <c r="F167" s="17">
        <v>402</v>
      </c>
      <c r="G167" s="36">
        <v>1190.5714285714287</v>
      </c>
      <c r="H167" s="30">
        <v>0.57385167760307043</v>
      </c>
      <c r="I167" s="72">
        <v>793</v>
      </c>
      <c r="J167" s="27">
        <v>1153.8571428571429</v>
      </c>
      <c r="K167" s="88">
        <v>1217</v>
      </c>
      <c r="L167" s="30">
        <v>0.24690606613917632</v>
      </c>
      <c r="M167" s="27">
        <v>4929</v>
      </c>
      <c r="N167" s="25">
        <v>3.2000000000000002E-3</v>
      </c>
      <c r="O167" s="12">
        <v>67</v>
      </c>
      <c r="P167" s="17">
        <v>12725</v>
      </c>
      <c r="Q167" s="48">
        <v>0.34</v>
      </c>
      <c r="R167" s="75">
        <v>1782</v>
      </c>
      <c r="S167" s="37">
        <v>5234</v>
      </c>
      <c r="T167" s="8">
        <v>0.85799999999999998</v>
      </c>
      <c r="U167" s="6">
        <v>7250</v>
      </c>
      <c r="V167" s="24">
        <v>8449</v>
      </c>
      <c r="W167" s="89">
        <v>9099</v>
      </c>
      <c r="X167" s="14">
        <v>0.3445546803998788</v>
      </c>
      <c r="Y167" s="24">
        <v>26408</v>
      </c>
      <c r="Z167" s="22">
        <v>7.0130054218788762E-2</v>
      </c>
      <c r="AA167" s="17">
        <v>63.838709677419352</v>
      </c>
      <c r="AB167" s="4">
        <v>910.29032258064512</v>
      </c>
      <c r="AC167" s="35">
        <v>0.4594305287946906</v>
      </c>
      <c r="AD167" s="17">
        <v>138.45161290322579</v>
      </c>
      <c r="AE167" s="40">
        <v>301.35483870967744</v>
      </c>
      <c r="AF167" s="14">
        <v>0.89364773820981702</v>
      </c>
      <c r="AG167" s="17">
        <v>419.32258064516128</v>
      </c>
      <c r="AH167" s="23">
        <v>469.22580645161293</v>
      </c>
      <c r="AI167" s="63">
        <v>621.61290322580646</v>
      </c>
      <c r="AJ167" s="7">
        <v>0.36981595562976183</v>
      </c>
      <c r="AK167" s="26">
        <v>1680.8709677419356</v>
      </c>
      <c r="AL167" s="93">
        <v>10937.612903225807</v>
      </c>
      <c r="AM167" s="7">
        <v>0.33126342137298076</v>
      </c>
      <c r="AN167" s="3">
        <v>33017.870967741939</v>
      </c>
      <c r="AO167" s="7">
        <f>(+AA167+O167+C167)/(D167+P167+AB167)</f>
        <v>9.4229354122924904E-3</v>
      </c>
      <c r="AP167" s="7">
        <f t="shared" si="237"/>
        <v>0.34529840509864163</v>
      </c>
      <c r="AQ167" s="94">
        <f t="shared" si="238"/>
        <v>0.84017602150763926</v>
      </c>
    </row>
    <row r="168" spans="1:43" x14ac:dyDescent="0.15">
      <c r="A168" s="147">
        <v>38718</v>
      </c>
      <c r="B168" s="83">
        <v>0</v>
      </c>
      <c r="C168" s="17"/>
      <c r="D168" s="6"/>
      <c r="E168" s="35">
        <v>0.33</v>
      </c>
      <c r="F168" s="17"/>
      <c r="G168" s="36"/>
      <c r="H168" s="30">
        <v>0.53</v>
      </c>
      <c r="I168" s="72"/>
      <c r="J168" s="27"/>
      <c r="K168" s="88"/>
      <c r="L168" s="30">
        <v>0.23</v>
      </c>
      <c r="M168" s="27"/>
      <c r="N168" s="25">
        <v>3.2000000000000002E-3</v>
      </c>
      <c r="O168" s="51">
        <v>67</v>
      </c>
      <c r="P168" s="17">
        <v>13250</v>
      </c>
      <c r="Q168" s="48">
        <v>0.34499999999999997</v>
      </c>
      <c r="R168" s="76">
        <v>1821</v>
      </c>
      <c r="S168" s="37">
        <v>5276</v>
      </c>
      <c r="T168" s="8">
        <v>0.85799999999999998</v>
      </c>
      <c r="U168" s="6">
        <v>7396</v>
      </c>
      <c r="V168" s="24">
        <v>8623</v>
      </c>
      <c r="W168" s="89">
        <f>+U168+R168+O168</f>
        <v>9284</v>
      </c>
      <c r="X168" s="14">
        <f>W168/Y168</f>
        <v>0.34196471324910677</v>
      </c>
      <c r="Y168" s="24">
        <f>+V168+S168+P168</f>
        <v>27149</v>
      </c>
      <c r="Z168" s="22">
        <f>AA168/AB168</f>
        <v>7.3338335768729515E-2</v>
      </c>
      <c r="AA168" s="17">
        <v>59.903225806451616</v>
      </c>
      <c r="AB168" s="12">
        <v>816.80645161290317</v>
      </c>
      <c r="AC168" s="35">
        <f>AD168/AE168</f>
        <v>0.46385474230292095</v>
      </c>
      <c r="AD168" s="17">
        <v>132.67741935483872</v>
      </c>
      <c r="AE168" s="38">
        <v>286.03225806451616</v>
      </c>
      <c r="AF168" s="14">
        <f>AG168/AH168</f>
        <v>0.90250017410683203</v>
      </c>
      <c r="AG168" s="17">
        <v>418.03225806451616</v>
      </c>
      <c r="AH168" s="23">
        <v>463.19354838709677</v>
      </c>
      <c r="AI168" s="63">
        <f t="shared" ref="AI168:AI180" si="329">AG168+AD168+AA168</f>
        <v>610.61290322580646</v>
      </c>
      <c r="AJ168" s="7">
        <f>AI168/AK168</f>
        <v>0.38991080808288875</v>
      </c>
      <c r="AK168" s="26">
        <f t="shared" ref="AK168:AK180" si="330">AH168+AE168+AB168</f>
        <v>1566.0322580645161</v>
      </c>
      <c r="AL168" s="92"/>
      <c r="AM168" s="87">
        <v>0.37</v>
      </c>
      <c r="AN168" s="15"/>
      <c r="AO168" s="15"/>
      <c r="AP168" s="15"/>
      <c r="AQ168" s="91"/>
    </row>
    <row r="169" spans="1:43" x14ac:dyDescent="0.15">
      <c r="A169" s="147">
        <v>38687</v>
      </c>
      <c r="B169" s="20">
        <v>0</v>
      </c>
      <c r="C169" s="9"/>
      <c r="D169" s="2"/>
      <c r="E169" s="33">
        <v>0.35</v>
      </c>
      <c r="F169" s="9"/>
      <c r="G169" s="34"/>
      <c r="H169" s="9">
        <v>0.62</v>
      </c>
      <c r="I169" s="9"/>
      <c r="J169" s="21"/>
      <c r="K169" s="28"/>
      <c r="L169" s="9">
        <v>0.24</v>
      </c>
      <c r="M169" s="19"/>
      <c r="N169" s="22">
        <v>3.0000000000000001E-3</v>
      </c>
      <c r="O169" s="14"/>
      <c r="P169" s="1"/>
      <c r="Q169" s="46">
        <v>0.34</v>
      </c>
      <c r="R169" s="73"/>
      <c r="S169" s="32"/>
      <c r="T169" s="14">
        <v>0.89200000000000002</v>
      </c>
      <c r="U169" s="14"/>
      <c r="V169" s="19"/>
      <c r="W169" s="18"/>
      <c r="X169" s="87">
        <v>0.4</v>
      </c>
      <c r="Y169" s="19"/>
      <c r="Z169" s="20">
        <v>7.0000000000000007E-2</v>
      </c>
      <c r="AA169" s="17">
        <v>56.533333333333331</v>
      </c>
      <c r="AB169" s="3">
        <v>754.9666666666667</v>
      </c>
      <c r="AC169" s="33">
        <v>0.45</v>
      </c>
      <c r="AD169" s="17">
        <v>127.73333333333333</v>
      </c>
      <c r="AE169" s="38">
        <v>278.13333333333333</v>
      </c>
      <c r="AF169" s="9">
        <v>0.87</v>
      </c>
      <c r="AG169" s="17">
        <v>379.7</v>
      </c>
      <c r="AH169" s="23">
        <v>438.96666666666664</v>
      </c>
      <c r="AI169" s="63">
        <f t="shared" si="329"/>
        <v>563.9666666666667</v>
      </c>
      <c r="AJ169" s="87">
        <v>0.4</v>
      </c>
      <c r="AK169" s="26">
        <f t="shared" si="330"/>
        <v>1472.0666666666666</v>
      </c>
      <c r="AL169" s="92"/>
      <c r="AM169" s="87">
        <v>0.38</v>
      </c>
      <c r="AN169" s="13"/>
      <c r="AO169" s="15"/>
      <c r="AP169" s="15"/>
      <c r="AQ169" s="91"/>
    </row>
    <row r="170" spans="1:43" x14ac:dyDescent="0.15">
      <c r="A170" s="147">
        <v>38657</v>
      </c>
      <c r="B170" s="20">
        <v>0</v>
      </c>
      <c r="C170" s="9"/>
      <c r="D170" s="2"/>
      <c r="E170" s="33">
        <v>0.33</v>
      </c>
      <c r="F170" s="9"/>
      <c r="G170" s="34"/>
      <c r="H170" s="9">
        <v>0.61</v>
      </c>
      <c r="I170" s="9"/>
      <c r="J170" s="21"/>
      <c r="K170" s="28"/>
      <c r="L170" s="9">
        <v>0.27</v>
      </c>
      <c r="M170" s="19"/>
      <c r="N170" s="22">
        <v>3.0000000000000001E-3</v>
      </c>
      <c r="O170" s="14"/>
      <c r="P170" s="1"/>
      <c r="Q170" s="46">
        <v>0.33300000000000002</v>
      </c>
      <c r="R170" s="73"/>
      <c r="S170" s="32"/>
      <c r="T170" s="14">
        <v>0.91</v>
      </c>
      <c r="U170" s="14"/>
      <c r="V170" s="19"/>
      <c r="W170" s="18"/>
      <c r="X170" s="87">
        <v>0.41</v>
      </c>
      <c r="Y170" s="19"/>
      <c r="Z170" s="20">
        <v>7.0000000000000007E-2</v>
      </c>
      <c r="AA170" s="105">
        <v>47.935483870967744</v>
      </c>
      <c r="AB170" s="3">
        <v>677.87096774193549</v>
      </c>
      <c r="AC170" s="33">
        <v>0.45</v>
      </c>
      <c r="AD170" s="17">
        <v>128.67741935483872</v>
      </c>
      <c r="AE170" s="38">
        <v>284.80645161290323</v>
      </c>
      <c r="AF170" s="9">
        <v>0.89</v>
      </c>
      <c r="AG170" s="17">
        <v>396.38709677419354</v>
      </c>
      <c r="AH170" s="23">
        <v>456.87096774193549</v>
      </c>
      <c r="AI170" s="63">
        <f t="shared" si="329"/>
        <v>573</v>
      </c>
      <c r="AJ170" s="87">
        <v>0.39</v>
      </c>
      <c r="AK170" s="26">
        <f t="shared" si="330"/>
        <v>1419.5483870967741</v>
      </c>
      <c r="AL170" s="92"/>
      <c r="AM170" s="87">
        <v>0.39</v>
      </c>
      <c r="AN170" s="13"/>
      <c r="AO170" s="15"/>
      <c r="AP170" s="15"/>
      <c r="AQ170" s="91"/>
    </row>
    <row r="171" spans="1:43" x14ac:dyDescent="0.15">
      <c r="A171" s="147">
        <v>38626</v>
      </c>
      <c r="B171" s="20">
        <v>0</v>
      </c>
      <c r="C171" s="9"/>
      <c r="D171" s="2"/>
      <c r="E171" s="33">
        <v>0.33</v>
      </c>
      <c r="F171" s="9"/>
      <c r="G171" s="34"/>
      <c r="H171" s="9">
        <v>0.81</v>
      </c>
      <c r="I171" s="9"/>
      <c r="J171" s="21"/>
      <c r="K171" s="28"/>
      <c r="L171" s="9">
        <v>0.25</v>
      </c>
      <c r="M171" s="19"/>
      <c r="N171" s="22">
        <v>3.0000000000000001E-3</v>
      </c>
      <c r="O171" s="14"/>
      <c r="P171" s="1"/>
      <c r="Q171" s="46">
        <v>0.32900000000000001</v>
      </c>
      <c r="R171" s="73"/>
      <c r="S171" s="32"/>
      <c r="T171" s="14">
        <v>0.91100000000000003</v>
      </c>
      <c r="U171" s="14"/>
      <c r="V171" s="19"/>
      <c r="W171" s="18"/>
      <c r="X171" s="87">
        <v>0.41</v>
      </c>
      <c r="Y171" s="19"/>
      <c r="Z171" s="20">
        <v>7.0000000000000007E-2</v>
      </c>
      <c r="AA171" s="105">
        <v>48.4</v>
      </c>
      <c r="AB171" s="3">
        <v>711.33333333333337</v>
      </c>
      <c r="AC171" s="33">
        <v>0.47</v>
      </c>
      <c r="AD171" s="17">
        <v>136.43333333333334</v>
      </c>
      <c r="AE171" s="38">
        <v>305.56666666666666</v>
      </c>
      <c r="AF171" s="9">
        <v>0.89</v>
      </c>
      <c r="AG171" s="17">
        <v>404.93333333333334</v>
      </c>
      <c r="AH171" s="23">
        <v>456.26666666666665</v>
      </c>
      <c r="AI171" s="63">
        <f t="shared" si="329"/>
        <v>589.76666666666665</v>
      </c>
      <c r="AJ171" s="87">
        <v>0.4</v>
      </c>
      <c r="AK171" s="26">
        <f t="shared" si="330"/>
        <v>1473.1666666666665</v>
      </c>
      <c r="AL171" s="92"/>
      <c r="AM171" s="87">
        <v>0.38</v>
      </c>
      <c r="AN171" s="13"/>
      <c r="AO171" s="15"/>
      <c r="AP171" s="15"/>
      <c r="AQ171" s="91"/>
    </row>
    <row r="172" spans="1:43" x14ac:dyDescent="0.15">
      <c r="A172" s="147">
        <v>38596</v>
      </c>
      <c r="B172" s="20">
        <v>0</v>
      </c>
      <c r="C172" s="9"/>
      <c r="D172" s="2"/>
      <c r="E172" s="33">
        <v>0.33</v>
      </c>
      <c r="F172" s="9"/>
      <c r="G172" s="34"/>
      <c r="H172" s="9">
        <v>0.86</v>
      </c>
      <c r="I172" s="9"/>
      <c r="J172" s="21"/>
      <c r="K172" s="28"/>
      <c r="L172" s="9">
        <v>0.31</v>
      </c>
      <c r="M172" s="19"/>
      <c r="N172" s="22">
        <v>2E-3</v>
      </c>
      <c r="O172" s="14"/>
      <c r="P172" s="1"/>
      <c r="Q172" s="46">
        <v>0.32900000000000001</v>
      </c>
      <c r="R172" s="73"/>
      <c r="S172" s="32"/>
      <c r="T172" s="14">
        <v>0.91100000000000003</v>
      </c>
      <c r="U172" s="14"/>
      <c r="V172" s="19"/>
      <c r="W172" s="18"/>
      <c r="X172" s="87">
        <v>0.41</v>
      </c>
      <c r="Y172" s="19"/>
      <c r="Z172" s="20">
        <v>7.0000000000000007E-2</v>
      </c>
      <c r="AA172" s="105">
        <v>50.064516129032256</v>
      </c>
      <c r="AB172" s="3">
        <v>677.41935483870964</v>
      </c>
      <c r="AC172" s="33">
        <v>0.49</v>
      </c>
      <c r="AD172" s="17">
        <v>151.96774193548387</v>
      </c>
      <c r="AE172" s="38">
        <v>325.74193548387098</v>
      </c>
      <c r="AF172" s="9">
        <v>0.9</v>
      </c>
      <c r="AG172" s="17">
        <v>448.73333333333335</v>
      </c>
      <c r="AH172" s="23">
        <v>507.3</v>
      </c>
      <c r="AI172" s="63">
        <f t="shared" si="329"/>
        <v>650.76559139784945</v>
      </c>
      <c r="AJ172" s="87">
        <v>0.4</v>
      </c>
      <c r="AK172" s="26">
        <f t="shared" si="330"/>
        <v>1510.4612903225807</v>
      </c>
      <c r="AL172" s="92"/>
      <c r="AM172" s="87">
        <v>0.39</v>
      </c>
      <c r="AN172" s="13"/>
      <c r="AO172" s="15"/>
      <c r="AP172" s="15"/>
      <c r="AQ172" s="91"/>
    </row>
    <row r="173" spans="1:43" x14ac:dyDescent="0.15">
      <c r="A173" s="147">
        <v>38565</v>
      </c>
      <c r="B173" s="20">
        <v>0</v>
      </c>
      <c r="C173" s="9"/>
      <c r="D173" s="2"/>
      <c r="E173" s="33">
        <v>0.34</v>
      </c>
      <c r="F173" s="9"/>
      <c r="G173" s="34"/>
      <c r="H173" s="9">
        <v>0.78</v>
      </c>
      <c r="I173" s="9"/>
      <c r="J173" s="21"/>
      <c r="K173" s="28"/>
      <c r="L173" s="9">
        <v>0.32</v>
      </c>
      <c r="M173" s="19"/>
      <c r="N173" s="22">
        <v>2E-3</v>
      </c>
      <c r="O173" s="14"/>
      <c r="P173" s="1"/>
      <c r="Q173" s="46">
        <v>0.33700000000000002</v>
      </c>
      <c r="R173" s="73"/>
      <c r="S173" s="32"/>
      <c r="T173" s="14">
        <v>0.90300000000000002</v>
      </c>
      <c r="U173" s="14"/>
      <c r="V173" s="19"/>
      <c r="W173" s="18"/>
      <c r="X173" s="87">
        <v>0.41</v>
      </c>
      <c r="Y173" s="19"/>
      <c r="Z173" s="20">
        <v>7.0000000000000007E-2</v>
      </c>
      <c r="AA173" s="105">
        <v>51.774193548387096</v>
      </c>
      <c r="AB173" s="3">
        <v>709.67741935483866</v>
      </c>
      <c r="AC173" s="33">
        <v>0.5</v>
      </c>
      <c r="AD173" s="17">
        <v>137.03225806451613</v>
      </c>
      <c r="AE173" s="38">
        <v>277.77419354838707</v>
      </c>
      <c r="AF173" s="9">
        <v>0.87</v>
      </c>
      <c r="AG173" s="17">
        <v>384.12903225806451</v>
      </c>
      <c r="AH173" s="23">
        <v>426</v>
      </c>
      <c r="AI173" s="63">
        <f t="shared" si="329"/>
        <v>572.93548387096769</v>
      </c>
      <c r="AJ173" s="87">
        <v>0.41</v>
      </c>
      <c r="AK173" s="26">
        <f t="shared" si="330"/>
        <v>1413.4516129032259</v>
      </c>
      <c r="AL173" s="92"/>
      <c r="AM173" s="87">
        <v>0.39</v>
      </c>
      <c r="AN173" s="13"/>
      <c r="AO173" s="15"/>
      <c r="AP173" s="15"/>
      <c r="AQ173" s="91"/>
    </row>
    <row r="174" spans="1:43" x14ac:dyDescent="0.15">
      <c r="A174" s="147">
        <v>38534</v>
      </c>
      <c r="B174" s="20">
        <v>0</v>
      </c>
      <c r="C174" s="9"/>
      <c r="D174" s="2"/>
      <c r="E174" s="33">
        <v>0.34</v>
      </c>
      <c r="F174" s="9"/>
      <c r="G174" s="34"/>
      <c r="H174" s="9">
        <v>0.84</v>
      </c>
      <c r="I174" s="9"/>
      <c r="J174" s="21"/>
      <c r="K174" s="28"/>
      <c r="L174" s="9">
        <v>0.3</v>
      </c>
      <c r="M174" s="19"/>
      <c r="N174" s="22">
        <v>2E-3</v>
      </c>
      <c r="O174" s="14"/>
      <c r="P174" s="1"/>
      <c r="Q174" s="46">
        <v>0.34899999999999998</v>
      </c>
      <c r="R174" s="73"/>
      <c r="S174" s="32"/>
      <c r="T174" s="14">
        <v>0.89700000000000002</v>
      </c>
      <c r="U174" s="14"/>
      <c r="V174" s="19"/>
      <c r="W174" s="18"/>
      <c r="X174" s="87">
        <v>0.41</v>
      </c>
      <c r="Y174" s="19"/>
      <c r="Z174" s="20">
        <v>0.1</v>
      </c>
      <c r="AA174" s="105">
        <v>50.8</v>
      </c>
      <c r="AB174" s="3">
        <v>692.86666666666667</v>
      </c>
      <c r="AC174" s="33">
        <v>0.54</v>
      </c>
      <c r="AD174" s="17">
        <v>144.06666666666666</v>
      </c>
      <c r="AE174" s="38">
        <v>287.26666666666665</v>
      </c>
      <c r="AF174" s="9">
        <v>0.88</v>
      </c>
      <c r="AG174" s="17">
        <v>422.3</v>
      </c>
      <c r="AH174" s="23">
        <v>486.5</v>
      </c>
      <c r="AI174" s="63">
        <f t="shared" si="329"/>
        <v>617.16666666666663</v>
      </c>
      <c r="AJ174" s="87">
        <v>0.41</v>
      </c>
      <c r="AK174" s="26">
        <f t="shared" si="330"/>
        <v>1466.6333333333332</v>
      </c>
      <c r="AL174" s="92"/>
      <c r="AM174" s="87">
        <v>0.39</v>
      </c>
      <c r="AN174" s="13"/>
      <c r="AO174" s="15"/>
      <c r="AP174" s="15"/>
      <c r="AQ174" s="91"/>
    </row>
    <row r="175" spans="1:43" x14ac:dyDescent="0.15">
      <c r="A175" s="147">
        <v>38504</v>
      </c>
      <c r="B175" s="20">
        <v>0</v>
      </c>
      <c r="C175" s="9"/>
      <c r="D175" s="2"/>
      <c r="E175" s="33">
        <v>0.34</v>
      </c>
      <c r="F175" s="9"/>
      <c r="G175" s="34"/>
      <c r="H175" s="9">
        <v>0.83</v>
      </c>
      <c r="I175" s="9"/>
      <c r="J175" s="21"/>
      <c r="K175" s="28"/>
      <c r="L175" s="9">
        <v>0.32</v>
      </c>
      <c r="M175" s="19"/>
      <c r="N175" s="22">
        <v>2E-3</v>
      </c>
      <c r="O175" s="14"/>
      <c r="P175" s="1"/>
      <c r="Q175" s="46">
        <v>0.36</v>
      </c>
      <c r="R175" s="73"/>
      <c r="S175" s="32"/>
      <c r="T175" s="14">
        <v>0.90269999999999995</v>
      </c>
      <c r="U175" s="14"/>
      <c r="V175" s="19"/>
      <c r="W175" s="18"/>
      <c r="X175" s="87">
        <v>0.41</v>
      </c>
      <c r="Y175" s="19"/>
      <c r="Z175" s="20">
        <v>0.11</v>
      </c>
      <c r="AA175" s="105">
        <v>65.612903225806448</v>
      </c>
      <c r="AB175" s="3">
        <v>672.54838709677415</v>
      </c>
      <c r="AC175" s="33">
        <v>0.66</v>
      </c>
      <c r="AD175" s="17">
        <v>152.83333333333334</v>
      </c>
      <c r="AE175" s="38">
        <v>285.86666666666667</v>
      </c>
      <c r="AF175" s="9">
        <v>0.89</v>
      </c>
      <c r="AG175" s="17">
        <v>421.2</v>
      </c>
      <c r="AH175" s="23">
        <v>479.43333333333334</v>
      </c>
      <c r="AI175" s="63">
        <f t="shared" si="329"/>
        <v>639.64623655913977</v>
      </c>
      <c r="AJ175" s="87">
        <v>0.43</v>
      </c>
      <c r="AK175" s="26">
        <f t="shared" si="330"/>
        <v>1437.8483870967741</v>
      </c>
      <c r="AL175" s="92"/>
      <c r="AM175" s="87">
        <v>0.4</v>
      </c>
      <c r="AN175" s="13"/>
      <c r="AO175" s="15"/>
      <c r="AP175" s="15"/>
      <c r="AQ175" s="91"/>
    </row>
    <row r="176" spans="1:43" x14ac:dyDescent="0.15">
      <c r="A176" s="147">
        <v>38473</v>
      </c>
      <c r="B176" s="20">
        <v>0</v>
      </c>
      <c r="C176" s="9"/>
      <c r="D176" s="2"/>
      <c r="E176" s="33">
        <v>0.32</v>
      </c>
      <c r="F176" s="9"/>
      <c r="G176" s="34"/>
      <c r="H176" s="9">
        <v>0.85</v>
      </c>
      <c r="I176" s="9"/>
      <c r="J176" s="21"/>
      <c r="K176" s="28"/>
      <c r="L176" s="9">
        <v>0.32</v>
      </c>
      <c r="M176" s="19"/>
      <c r="N176" s="22">
        <v>2E-3</v>
      </c>
      <c r="O176" s="14"/>
      <c r="P176" s="1"/>
      <c r="Q176" s="46">
        <v>0.36599999999999999</v>
      </c>
      <c r="R176" s="73"/>
      <c r="S176" s="32"/>
      <c r="T176" s="14">
        <v>0.91900000000000004</v>
      </c>
      <c r="U176" s="14"/>
      <c r="V176" s="19"/>
      <c r="W176" s="18"/>
      <c r="X176" s="87">
        <v>0.42</v>
      </c>
      <c r="Y176" s="19"/>
      <c r="Z176" s="20">
        <v>0.11</v>
      </c>
      <c r="AA176" s="105">
        <v>79.3</v>
      </c>
      <c r="AB176" s="3">
        <v>748.73333333333335</v>
      </c>
      <c r="AC176" s="33">
        <v>0.62</v>
      </c>
      <c r="AD176" s="17">
        <v>189.53333333333333</v>
      </c>
      <c r="AE176" s="38">
        <v>289</v>
      </c>
      <c r="AF176" s="9">
        <v>0.93</v>
      </c>
      <c r="AG176" s="17">
        <v>432.76666666666665</v>
      </c>
      <c r="AH176" s="23">
        <v>487.96666666666664</v>
      </c>
      <c r="AI176" s="63">
        <f t="shared" si="329"/>
        <v>701.59999999999991</v>
      </c>
      <c r="AJ176" s="87">
        <v>0.46</v>
      </c>
      <c r="AK176" s="26">
        <f t="shared" si="330"/>
        <v>1525.7</v>
      </c>
      <c r="AL176" s="92"/>
      <c r="AM176" s="87">
        <v>0.41</v>
      </c>
      <c r="AN176" s="13"/>
      <c r="AO176" s="15"/>
      <c r="AP176" s="15"/>
      <c r="AQ176" s="91"/>
    </row>
    <row r="177" spans="1:43" x14ac:dyDescent="0.15">
      <c r="A177" s="147">
        <v>38443</v>
      </c>
      <c r="B177" s="20">
        <v>0</v>
      </c>
      <c r="C177" s="9"/>
      <c r="D177" s="2"/>
      <c r="E177" s="33">
        <v>0.32</v>
      </c>
      <c r="F177" s="9"/>
      <c r="G177" s="34"/>
      <c r="H177" s="9">
        <v>0.86</v>
      </c>
      <c r="I177" s="9"/>
      <c r="J177" s="21"/>
      <c r="K177" s="28"/>
      <c r="L177" s="9">
        <v>0.28999999999999998</v>
      </c>
      <c r="M177" s="19"/>
      <c r="N177" s="22">
        <v>2E-3</v>
      </c>
      <c r="O177" s="14"/>
      <c r="P177" s="1"/>
      <c r="Q177" s="46">
        <v>0.36699999999999999</v>
      </c>
      <c r="R177" s="73"/>
      <c r="S177" s="32"/>
      <c r="T177" s="14">
        <v>0.91700000000000004</v>
      </c>
      <c r="U177" s="14"/>
      <c r="V177" s="19"/>
      <c r="W177" s="18"/>
      <c r="X177" s="87">
        <v>0.42</v>
      </c>
      <c r="Y177" s="19"/>
      <c r="Z177" s="20">
        <v>0.13</v>
      </c>
      <c r="AA177" s="105">
        <v>88.032258064516128</v>
      </c>
      <c r="AB177" s="3">
        <v>807.12903225806451</v>
      </c>
      <c r="AC177" s="33">
        <v>0.65</v>
      </c>
      <c r="AD177" s="17">
        <v>179.19354838709677</v>
      </c>
      <c r="AE177" s="38">
        <v>289.45161290322579</v>
      </c>
      <c r="AF177" s="9">
        <v>0.92</v>
      </c>
      <c r="AG177" s="17">
        <v>461.25806451612902</v>
      </c>
      <c r="AH177" s="23">
        <v>493.96774193548384</v>
      </c>
      <c r="AI177" s="63">
        <f t="shared" si="329"/>
        <v>728.48387096774195</v>
      </c>
      <c r="AJ177" s="87">
        <v>0.51</v>
      </c>
      <c r="AK177" s="26">
        <f t="shared" si="330"/>
        <v>1590.5483870967741</v>
      </c>
      <c r="AL177" s="92"/>
      <c r="AM177" s="87">
        <v>0.41</v>
      </c>
      <c r="AN177" s="13"/>
      <c r="AO177" s="15"/>
      <c r="AP177" s="15"/>
      <c r="AQ177" s="91"/>
    </row>
    <row r="178" spans="1:43" x14ac:dyDescent="0.15">
      <c r="A178" s="147">
        <v>38412</v>
      </c>
      <c r="B178" s="20">
        <v>0</v>
      </c>
      <c r="C178" s="9"/>
      <c r="D178" s="2"/>
      <c r="E178" s="33">
        <v>0.33</v>
      </c>
      <c r="F178" s="9"/>
      <c r="G178" s="34"/>
      <c r="H178" s="9">
        <v>0.87</v>
      </c>
      <c r="I178" s="9"/>
      <c r="J178" s="21"/>
      <c r="K178" s="28"/>
      <c r="L178" s="9">
        <v>0.31</v>
      </c>
      <c r="M178" s="19"/>
      <c r="N178" s="22">
        <v>2E-3</v>
      </c>
      <c r="O178" s="14"/>
      <c r="P178" s="1"/>
      <c r="Q178" s="46">
        <v>0.36799999999999999</v>
      </c>
      <c r="R178" s="73"/>
      <c r="S178" s="32"/>
      <c r="T178" s="14">
        <v>0.91800000000000004</v>
      </c>
      <c r="U178" s="14"/>
      <c r="V178" s="19"/>
      <c r="W178" s="18"/>
      <c r="X178" s="87">
        <v>0.42</v>
      </c>
      <c r="Y178" s="19"/>
      <c r="Z178" s="20">
        <v>0.13</v>
      </c>
      <c r="AA178" s="105">
        <v>113.71428571428571</v>
      </c>
      <c r="AB178" s="3">
        <v>897.42857142857144</v>
      </c>
      <c r="AC178" s="33">
        <v>0.65</v>
      </c>
      <c r="AD178" s="17">
        <v>191.35714285714286</v>
      </c>
      <c r="AE178" s="38">
        <v>294.96428571428572</v>
      </c>
      <c r="AF178" s="9">
        <v>0.93</v>
      </c>
      <c r="AG178" s="17">
        <v>448.53571428571428</v>
      </c>
      <c r="AH178" s="23">
        <v>485.28571428571428</v>
      </c>
      <c r="AI178" s="63">
        <f t="shared" si="329"/>
        <v>753.60714285714278</v>
      </c>
      <c r="AJ178" s="87">
        <v>0.51</v>
      </c>
      <c r="AK178" s="26">
        <f t="shared" si="330"/>
        <v>1677.6785714285716</v>
      </c>
      <c r="AL178" s="92"/>
      <c r="AM178" s="87">
        <v>0.4</v>
      </c>
      <c r="AN178" s="13"/>
      <c r="AO178" s="15"/>
      <c r="AP178" s="15"/>
      <c r="AQ178" s="91"/>
    </row>
    <row r="179" spans="1:43" x14ac:dyDescent="0.15">
      <c r="A179" s="147">
        <v>38384</v>
      </c>
      <c r="B179" s="20">
        <v>0.01</v>
      </c>
      <c r="C179" s="9"/>
      <c r="D179" s="2"/>
      <c r="E179" s="33">
        <v>0.32</v>
      </c>
      <c r="F179" s="9"/>
      <c r="G179" s="34"/>
      <c r="H179" s="9">
        <v>0.87</v>
      </c>
      <c r="I179" s="9"/>
      <c r="J179" s="21"/>
      <c r="K179" s="28"/>
      <c r="L179" s="9">
        <v>0.31</v>
      </c>
      <c r="M179" s="19"/>
      <c r="N179" s="22">
        <v>3.0000000000000001E-3</v>
      </c>
      <c r="O179" s="14"/>
      <c r="P179" s="1"/>
      <c r="Q179" s="46">
        <v>0.35799999999999998</v>
      </c>
      <c r="R179" s="73"/>
      <c r="S179" s="32"/>
      <c r="T179" s="14">
        <v>0.90700000000000003</v>
      </c>
      <c r="U179" s="14"/>
      <c r="V179" s="19"/>
      <c r="W179" s="18"/>
      <c r="X179" s="87">
        <v>0.41</v>
      </c>
      <c r="Y179" s="19"/>
      <c r="Z179" s="20">
        <v>0.13</v>
      </c>
      <c r="AA179" s="105">
        <v>116.83870967741936</v>
      </c>
      <c r="AB179" s="3">
        <v>927.19354838709683</v>
      </c>
      <c r="AC179" s="33">
        <v>0.64</v>
      </c>
      <c r="AD179" s="17">
        <v>200.90322580645162</v>
      </c>
      <c r="AE179" s="38">
        <v>311</v>
      </c>
      <c r="AF179" s="9">
        <v>0.93</v>
      </c>
      <c r="AG179" s="17">
        <v>437.70967741935482</v>
      </c>
      <c r="AH179" s="23">
        <v>471.25806451612902</v>
      </c>
      <c r="AI179" s="63">
        <f t="shared" si="329"/>
        <v>755.45161290322585</v>
      </c>
      <c r="AJ179" s="87">
        <v>0.51</v>
      </c>
      <c r="AK179" s="26">
        <f t="shared" si="330"/>
        <v>1709.4516129032259</v>
      </c>
      <c r="AL179" s="92"/>
      <c r="AM179" s="87">
        <v>0.4</v>
      </c>
      <c r="AN179" s="13"/>
      <c r="AO179" s="15"/>
      <c r="AP179" s="15"/>
      <c r="AQ179" s="91"/>
    </row>
    <row r="180" spans="1:43" x14ac:dyDescent="0.15">
      <c r="A180" s="147">
        <v>38353</v>
      </c>
      <c r="B180" s="20">
        <v>0.01</v>
      </c>
      <c r="C180" s="9"/>
      <c r="D180" s="2"/>
      <c r="E180" s="33">
        <v>0.31</v>
      </c>
      <c r="F180" s="9"/>
      <c r="G180" s="34"/>
      <c r="H180" s="9">
        <v>0.78</v>
      </c>
      <c r="I180" s="9"/>
      <c r="J180" s="21"/>
      <c r="K180" s="28"/>
      <c r="L180" s="9">
        <v>0.31</v>
      </c>
      <c r="M180" s="19"/>
      <c r="N180" s="22">
        <v>3.0000000000000001E-3</v>
      </c>
      <c r="O180" s="14"/>
      <c r="P180" s="1"/>
      <c r="Q180" s="46">
        <v>0.35899999999999999</v>
      </c>
      <c r="R180" s="73"/>
      <c r="S180" s="32"/>
      <c r="T180" s="14">
        <v>0.90900000000000003</v>
      </c>
      <c r="U180" s="14"/>
      <c r="V180" s="19"/>
      <c r="W180" s="18"/>
      <c r="X180" s="87">
        <v>0.41</v>
      </c>
      <c r="Y180" s="19"/>
      <c r="Z180" s="20">
        <v>0.14000000000000001</v>
      </c>
      <c r="AA180" s="105">
        <v>109.93548387096774</v>
      </c>
      <c r="AB180" s="3">
        <v>846.58064516129036</v>
      </c>
      <c r="AC180" s="33">
        <v>0.65</v>
      </c>
      <c r="AD180" s="17">
        <v>186.29032258064515</v>
      </c>
      <c r="AE180" s="38">
        <v>289.51612903225805</v>
      </c>
      <c r="AF180" s="9">
        <v>0.91</v>
      </c>
      <c r="AG180" s="17">
        <v>428.29032258064518</v>
      </c>
      <c r="AH180" s="23">
        <v>462.19354838709677</v>
      </c>
      <c r="AI180" s="63">
        <f t="shared" si="329"/>
        <v>724.51612903225805</v>
      </c>
      <c r="AJ180" s="87">
        <v>0.51</v>
      </c>
      <c r="AK180" s="26">
        <f t="shared" si="330"/>
        <v>1598.2903225806454</v>
      </c>
      <c r="AL180" s="92"/>
      <c r="AM180" s="87">
        <v>0.4</v>
      </c>
      <c r="AN180" s="13"/>
      <c r="AO180" s="15"/>
      <c r="AP180" s="15"/>
      <c r="AQ180" s="91"/>
    </row>
    <row r="181" spans="1:43" x14ac:dyDescent="0.15">
      <c r="A181" s="147">
        <v>38322</v>
      </c>
      <c r="B181" s="20">
        <v>0.01</v>
      </c>
      <c r="C181" s="9"/>
      <c r="D181" s="2"/>
      <c r="E181" s="33">
        <v>0.26</v>
      </c>
      <c r="F181" s="9"/>
      <c r="G181" s="34"/>
      <c r="H181" s="9">
        <v>0.8</v>
      </c>
      <c r="I181" s="9"/>
      <c r="J181" s="21"/>
      <c r="K181" s="28"/>
      <c r="L181" s="9">
        <v>0.31</v>
      </c>
      <c r="M181" s="19"/>
      <c r="N181" s="22">
        <v>3.0000000000000001E-3</v>
      </c>
      <c r="O181" s="14"/>
      <c r="P181" s="1"/>
      <c r="Q181" s="46">
        <v>0.35899999999999999</v>
      </c>
      <c r="R181" s="73"/>
      <c r="S181" s="32"/>
      <c r="T181" s="14">
        <v>0.91200000000000003</v>
      </c>
      <c r="U181" s="14"/>
      <c r="V181" s="19"/>
      <c r="W181" s="18"/>
      <c r="X181" s="87">
        <v>0.4</v>
      </c>
      <c r="Y181" s="19"/>
      <c r="Z181" s="20">
        <v>0.14000000000000001</v>
      </c>
      <c r="AA181" s="9"/>
      <c r="AB181" s="15"/>
      <c r="AC181" s="33">
        <v>0.61</v>
      </c>
      <c r="AD181" s="9"/>
      <c r="AE181" s="32"/>
      <c r="AF181" s="9">
        <v>0.91</v>
      </c>
      <c r="AG181" s="9"/>
      <c r="AH181" s="19"/>
      <c r="AI181" s="18"/>
      <c r="AJ181" s="87">
        <v>0.51</v>
      </c>
      <c r="AK181" s="19"/>
      <c r="AL181" s="92"/>
      <c r="AM181" s="87">
        <v>0.39</v>
      </c>
      <c r="AN181" s="13"/>
      <c r="AO181" s="15"/>
      <c r="AP181" s="15"/>
      <c r="AQ181" s="91"/>
    </row>
    <row r="182" spans="1:43" x14ac:dyDescent="0.15">
      <c r="A182" s="147">
        <v>38292</v>
      </c>
      <c r="B182" s="20">
        <v>0.01</v>
      </c>
      <c r="C182" s="9"/>
      <c r="D182" s="2"/>
      <c r="E182" s="33">
        <v>0.26</v>
      </c>
      <c r="F182" s="9"/>
      <c r="G182" s="34"/>
      <c r="H182" s="9">
        <v>0.87</v>
      </c>
      <c r="I182" s="9"/>
      <c r="J182" s="21"/>
      <c r="K182" s="28"/>
      <c r="L182" s="9">
        <v>0.21</v>
      </c>
      <c r="M182" s="19"/>
      <c r="N182" s="22">
        <v>2E-3</v>
      </c>
      <c r="O182" s="14"/>
      <c r="P182" s="1"/>
      <c r="Q182" s="46">
        <v>0.34399999999999997</v>
      </c>
      <c r="R182" s="73"/>
      <c r="S182" s="32"/>
      <c r="T182" s="14">
        <v>0.91700000000000004</v>
      </c>
      <c r="U182" s="14"/>
      <c r="V182" s="19"/>
      <c r="W182" s="18"/>
      <c r="X182" s="87">
        <v>0.4</v>
      </c>
      <c r="Y182" s="19"/>
      <c r="Z182" s="20">
        <v>0.13</v>
      </c>
      <c r="AA182" s="9"/>
      <c r="AB182" s="15"/>
      <c r="AC182" s="33">
        <v>0.61</v>
      </c>
      <c r="AD182" s="9"/>
      <c r="AE182" s="32"/>
      <c r="AF182" s="9">
        <v>0.89</v>
      </c>
      <c r="AG182" s="9"/>
      <c r="AH182" s="19"/>
      <c r="AI182" s="18"/>
      <c r="AJ182" s="87">
        <v>0.51</v>
      </c>
      <c r="AK182" s="19"/>
      <c r="AL182" s="92"/>
      <c r="AM182" s="87">
        <v>0.38</v>
      </c>
      <c r="AN182" s="13"/>
      <c r="AO182" s="15"/>
      <c r="AP182" s="15"/>
      <c r="AQ182" s="91"/>
    </row>
    <row r="183" spans="1:43" x14ac:dyDescent="0.15">
      <c r="A183" s="147">
        <v>38261</v>
      </c>
      <c r="B183" s="20">
        <v>0.01</v>
      </c>
      <c r="C183" s="9"/>
      <c r="D183" s="2"/>
      <c r="E183" s="33">
        <v>0.26</v>
      </c>
      <c r="F183" s="9"/>
      <c r="G183" s="34"/>
      <c r="H183" s="9">
        <v>0.71</v>
      </c>
      <c r="I183" s="9"/>
      <c r="J183" s="21"/>
      <c r="K183" s="28"/>
      <c r="L183" s="9">
        <v>0.31</v>
      </c>
      <c r="M183" s="19"/>
      <c r="N183" s="22">
        <v>2E-3</v>
      </c>
      <c r="O183" s="14"/>
      <c r="P183" s="1"/>
      <c r="Q183" s="46">
        <v>0.311</v>
      </c>
      <c r="R183" s="73"/>
      <c r="S183" s="32"/>
      <c r="T183" s="14">
        <v>0.89100000000000001</v>
      </c>
      <c r="U183" s="14"/>
      <c r="V183" s="19"/>
      <c r="W183" s="18"/>
      <c r="X183" s="87">
        <v>0.4</v>
      </c>
      <c r="Y183" s="19"/>
      <c r="Z183" s="20">
        <v>0.13</v>
      </c>
      <c r="AA183" s="9"/>
      <c r="AB183" s="15"/>
      <c r="AC183" s="33">
        <v>0.6</v>
      </c>
      <c r="AD183" s="9"/>
      <c r="AE183" s="32"/>
      <c r="AF183" s="9">
        <v>0.91</v>
      </c>
      <c r="AG183" s="9"/>
      <c r="AH183" s="19"/>
      <c r="AI183" s="18"/>
      <c r="AJ183" s="87">
        <v>0.51</v>
      </c>
      <c r="AK183" s="19"/>
      <c r="AL183" s="92"/>
      <c r="AM183" s="87">
        <v>0.39</v>
      </c>
      <c r="AN183" s="13"/>
      <c r="AO183" s="15"/>
      <c r="AP183" s="15"/>
      <c r="AQ183" s="91"/>
    </row>
    <row r="184" spans="1:43" x14ac:dyDescent="0.15">
      <c r="A184" s="147">
        <v>38231</v>
      </c>
      <c r="B184" s="20">
        <v>0.01</v>
      </c>
      <c r="C184" s="9"/>
      <c r="D184" s="2"/>
      <c r="E184" s="33">
        <v>0.27</v>
      </c>
      <c r="F184" s="9"/>
      <c r="G184" s="34"/>
      <c r="H184" s="9">
        <v>0.67</v>
      </c>
      <c r="I184" s="9"/>
      <c r="J184" s="21"/>
      <c r="K184" s="28"/>
      <c r="L184" s="9">
        <v>0.27</v>
      </c>
      <c r="M184" s="19"/>
      <c r="N184" s="22">
        <v>2E-3</v>
      </c>
      <c r="O184" s="14"/>
      <c r="P184" s="1"/>
      <c r="Q184" s="46">
        <v>0.309</v>
      </c>
      <c r="R184" s="73"/>
      <c r="S184" s="32"/>
      <c r="T184" s="14">
        <v>0.88800000000000001</v>
      </c>
      <c r="U184" s="14"/>
      <c r="V184" s="19"/>
      <c r="W184" s="18"/>
      <c r="X184" s="87">
        <v>0.4</v>
      </c>
      <c r="Y184" s="19"/>
      <c r="Z184" s="20">
        <v>0.13</v>
      </c>
      <c r="AA184" s="9"/>
      <c r="AB184" s="15"/>
      <c r="AC184" s="33">
        <v>0.64</v>
      </c>
      <c r="AD184" s="9"/>
      <c r="AE184" s="32"/>
      <c r="AF184" s="9">
        <v>0.93</v>
      </c>
      <c r="AG184" s="9"/>
      <c r="AH184" s="19"/>
      <c r="AI184" s="18"/>
      <c r="AJ184" s="87">
        <v>0.51</v>
      </c>
      <c r="AK184" s="19"/>
      <c r="AL184" s="92"/>
      <c r="AM184" s="87">
        <v>0.38</v>
      </c>
      <c r="AN184" s="13"/>
      <c r="AO184" s="15"/>
      <c r="AP184" s="15"/>
      <c r="AQ184" s="91"/>
    </row>
    <row r="185" spans="1:43" x14ac:dyDescent="0.15">
      <c r="A185" s="147">
        <v>38200</v>
      </c>
      <c r="B185" s="20">
        <v>0</v>
      </c>
      <c r="C185" s="9"/>
      <c r="D185" s="2"/>
      <c r="E185" s="33">
        <v>0.28000000000000003</v>
      </c>
      <c r="F185" s="9"/>
      <c r="G185" s="34"/>
      <c r="H185" s="9">
        <v>0.6</v>
      </c>
      <c r="I185" s="9"/>
      <c r="J185" s="21"/>
      <c r="K185" s="28"/>
      <c r="L185" s="9">
        <v>0.26</v>
      </c>
      <c r="M185" s="19"/>
      <c r="N185" s="22">
        <v>2E-3</v>
      </c>
      <c r="O185" s="14"/>
      <c r="P185" s="1"/>
      <c r="Q185" s="46">
        <v>0.313</v>
      </c>
      <c r="R185" s="73"/>
      <c r="S185" s="32"/>
      <c r="T185" s="14">
        <v>0.873</v>
      </c>
      <c r="U185" s="14"/>
      <c r="V185" s="19"/>
      <c r="W185" s="18"/>
      <c r="X185" s="87">
        <v>0.39</v>
      </c>
      <c r="Y185" s="19"/>
      <c r="Z185" s="20">
        <v>0.13</v>
      </c>
      <c r="AA185" s="9"/>
      <c r="AB185" s="15"/>
      <c r="AC185" s="33">
        <v>0.64</v>
      </c>
      <c r="AD185" s="9"/>
      <c r="AE185" s="32"/>
      <c r="AF185" s="9">
        <v>0.93</v>
      </c>
      <c r="AG185" s="9"/>
      <c r="AH185" s="19"/>
      <c r="AI185" s="18"/>
      <c r="AJ185" s="87">
        <v>0.51</v>
      </c>
      <c r="AK185" s="19"/>
      <c r="AL185" s="92"/>
      <c r="AM185" s="87">
        <v>0.38</v>
      </c>
      <c r="AN185" s="13"/>
      <c r="AO185" s="15"/>
      <c r="AP185" s="15"/>
      <c r="AQ185" s="91"/>
    </row>
    <row r="186" spans="1:43" x14ac:dyDescent="0.15">
      <c r="A186" s="147">
        <v>38169</v>
      </c>
      <c r="B186" s="20">
        <v>0</v>
      </c>
      <c r="C186" s="9"/>
      <c r="D186" s="2"/>
      <c r="E186" s="33">
        <v>0.28000000000000003</v>
      </c>
      <c r="F186" s="9"/>
      <c r="G186" s="34"/>
      <c r="H186" s="9">
        <v>0.63</v>
      </c>
      <c r="I186" s="9"/>
      <c r="J186" s="21"/>
      <c r="K186" s="28"/>
      <c r="L186" s="9">
        <v>0.23</v>
      </c>
      <c r="M186" s="19"/>
      <c r="N186" s="22">
        <v>2E-3</v>
      </c>
      <c r="O186" s="14"/>
      <c r="P186" s="1"/>
      <c r="Q186" s="46">
        <v>0.33</v>
      </c>
      <c r="R186" s="73"/>
      <c r="S186" s="32"/>
      <c r="T186" s="14">
        <v>0.89400000000000002</v>
      </c>
      <c r="U186" s="14"/>
      <c r="V186" s="19"/>
      <c r="W186" s="18"/>
      <c r="X186" s="87">
        <v>0.4</v>
      </c>
      <c r="Y186" s="19"/>
      <c r="Z186" s="20">
        <v>0.13</v>
      </c>
      <c r="AA186" s="9"/>
      <c r="AB186" s="15"/>
      <c r="AC186" s="33">
        <v>0.63</v>
      </c>
      <c r="AD186" s="9"/>
      <c r="AE186" s="32"/>
      <c r="AF186" s="9">
        <v>0.93</v>
      </c>
      <c r="AG186" s="9"/>
      <c r="AH186" s="19"/>
      <c r="AI186" s="18"/>
      <c r="AJ186" s="87">
        <v>0.51</v>
      </c>
      <c r="AK186" s="19"/>
      <c r="AL186" s="92"/>
      <c r="AM186" s="87">
        <v>0.38</v>
      </c>
      <c r="AN186" s="13"/>
      <c r="AO186" s="15"/>
      <c r="AP186" s="15"/>
      <c r="AQ186" s="91"/>
    </row>
    <row r="187" spans="1:43" x14ac:dyDescent="0.15">
      <c r="A187" s="147">
        <v>38139</v>
      </c>
      <c r="B187" s="20">
        <v>0</v>
      </c>
      <c r="C187" s="9"/>
      <c r="D187" s="2"/>
      <c r="E187" s="33">
        <v>0.28999999999999998</v>
      </c>
      <c r="F187" s="9"/>
      <c r="G187" s="34"/>
      <c r="H187" s="9">
        <v>0.48</v>
      </c>
      <c r="I187" s="9"/>
      <c r="J187" s="21"/>
      <c r="K187" s="28"/>
      <c r="L187" s="9">
        <v>0.25</v>
      </c>
      <c r="M187" s="19"/>
      <c r="N187" s="22">
        <v>2E-3</v>
      </c>
      <c r="O187" s="14"/>
      <c r="P187" s="1"/>
      <c r="Q187" s="46">
        <v>0.34699999999999998</v>
      </c>
      <c r="R187" s="73"/>
      <c r="S187" s="32"/>
      <c r="T187" s="14">
        <v>0.87</v>
      </c>
      <c r="U187" s="14"/>
      <c r="V187" s="19"/>
      <c r="W187" s="18"/>
      <c r="X187" s="87">
        <v>0.4</v>
      </c>
      <c r="Y187" s="19"/>
      <c r="Z187" s="20">
        <v>0.13</v>
      </c>
      <c r="AA187" s="9"/>
      <c r="AB187" s="15"/>
      <c r="AC187" s="33">
        <v>0.64</v>
      </c>
      <c r="AD187" s="9"/>
      <c r="AE187" s="32"/>
      <c r="AF187" s="9">
        <v>0.93</v>
      </c>
      <c r="AG187" s="9"/>
      <c r="AH187" s="19"/>
      <c r="AI187" s="18"/>
      <c r="AJ187" s="87">
        <v>0.47</v>
      </c>
      <c r="AK187" s="19"/>
      <c r="AL187" s="92"/>
      <c r="AM187" s="87">
        <v>0.38</v>
      </c>
      <c r="AN187" s="13"/>
      <c r="AO187" s="15"/>
      <c r="AP187" s="15"/>
      <c r="AQ187" s="91"/>
    </row>
    <row r="188" spans="1:43" x14ac:dyDescent="0.15">
      <c r="A188" s="147">
        <v>38108</v>
      </c>
      <c r="B188" s="20">
        <v>0</v>
      </c>
      <c r="C188" s="9"/>
      <c r="D188" s="2"/>
      <c r="E188" s="33">
        <v>0.27</v>
      </c>
      <c r="F188" s="9"/>
      <c r="G188" s="34"/>
      <c r="H188" s="9">
        <v>0.55000000000000004</v>
      </c>
      <c r="I188" s="9"/>
      <c r="J188" s="21"/>
      <c r="K188" s="28"/>
      <c r="L188" s="9">
        <v>0.21</v>
      </c>
      <c r="M188" s="19"/>
      <c r="N188" s="22">
        <v>2E-3</v>
      </c>
      <c r="O188" s="14"/>
      <c r="P188" s="1"/>
      <c r="Q188" s="46">
        <v>0.35599999999999998</v>
      </c>
      <c r="R188" s="73"/>
      <c r="S188" s="32"/>
      <c r="T188" s="14">
        <v>0.86899999999999999</v>
      </c>
      <c r="U188" s="14"/>
      <c r="V188" s="19"/>
      <c r="W188" s="18"/>
      <c r="X188" s="87">
        <v>0.4</v>
      </c>
      <c r="Y188" s="19"/>
      <c r="Z188" s="20">
        <v>0.12</v>
      </c>
      <c r="AA188" s="9"/>
      <c r="AB188" s="15"/>
      <c r="AC188" s="33">
        <v>0.63</v>
      </c>
      <c r="AD188" s="9"/>
      <c r="AE188" s="32"/>
      <c r="AF188" s="9">
        <v>0.93</v>
      </c>
      <c r="AG188" s="9"/>
      <c r="AH188" s="19"/>
      <c r="AI188" s="18"/>
      <c r="AJ188" s="87">
        <v>0.48</v>
      </c>
      <c r="AK188" s="19"/>
      <c r="AL188" s="92"/>
      <c r="AM188" s="87">
        <v>0.38</v>
      </c>
      <c r="AN188" s="13"/>
      <c r="AO188" s="15"/>
      <c r="AP188" s="15"/>
      <c r="AQ188" s="91"/>
    </row>
    <row r="189" spans="1:43" x14ac:dyDescent="0.15">
      <c r="A189" s="147">
        <v>38078</v>
      </c>
      <c r="B189" s="20">
        <v>0</v>
      </c>
      <c r="C189" s="9"/>
      <c r="D189" s="2"/>
      <c r="E189" s="33">
        <v>0.26</v>
      </c>
      <c r="F189" s="9"/>
      <c r="G189" s="34"/>
      <c r="H189" s="9">
        <v>0.55000000000000004</v>
      </c>
      <c r="I189" s="9"/>
      <c r="J189" s="21"/>
      <c r="K189" s="28"/>
      <c r="L189" s="9">
        <v>0.22</v>
      </c>
      <c r="M189" s="19"/>
      <c r="N189" s="22">
        <v>2E-3</v>
      </c>
      <c r="O189" s="14"/>
      <c r="P189" s="1"/>
      <c r="Q189" s="46">
        <v>0.34699999999999998</v>
      </c>
      <c r="R189" s="73"/>
      <c r="S189" s="32"/>
      <c r="T189" s="14">
        <v>0.86399999999999999</v>
      </c>
      <c r="U189" s="14"/>
      <c r="V189" s="19"/>
      <c r="W189" s="18"/>
      <c r="X189" s="87">
        <v>0.4</v>
      </c>
      <c r="Y189" s="19"/>
      <c r="Z189" s="20">
        <v>0.13</v>
      </c>
      <c r="AA189" s="9"/>
      <c r="AB189" s="15"/>
      <c r="AC189" s="33">
        <v>0.77</v>
      </c>
      <c r="AD189" s="9"/>
      <c r="AE189" s="32"/>
      <c r="AF189" s="9">
        <v>0.99</v>
      </c>
      <c r="AG189" s="9"/>
      <c r="AH189" s="19"/>
      <c r="AI189" s="18"/>
      <c r="AJ189" s="87">
        <v>0.47</v>
      </c>
      <c r="AK189" s="19"/>
      <c r="AL189" s="92"/>
      <c r="AM189" s="87">
        <v>0.37</v>
      </c>
      <c r="AN189" s="13"/>
      <c r="AO189" s="15"/>
      <c r="AP189" s="15"/>
      <c r="AQ189" s="91"/>
    </row>
    <row r="190" spans="1:43" x14ac:dyDescent="0.15">
      <c r="A190" s="147">
        <v>38047</v>
      </c>
      <c r="B190" s="20">
        <v>0</v>
      </c>
      <c r="C190" s="9"/>
      <c r="D190" s="2"/>
      <c r="E190" s="33">
        <v>0.27</v>
      </c>
      <c r="F190" s="9"/>
      <c r="G190" s="34"/>
      <c r="H190" s="9">
        <v>0.51</v>
      </c>
      <c r="I190" s="9"/>
      <c r="J190" s="21"/>
      <c r="K190" s="28"/>
      <c r="L190" s="9">
        <v>0.22</v>
      </c>
      <c r="M190" s="19"/>
      <c r="N190" s="22">
        <v>2E-3</v>
      </c>
      <c r="O190" s="14"/>
      <c r="P190" s="1"/>
      <c r="Q190" s="46">
        <v>0.34899999999999998</v>
      </c>
      <c r="R190" s="73"/>
      <c r="S190" s="32"/>
      <c r="T190" s="14">
        <v>0.85899999999999999</v>
      </c>
      <c r="U190" s="14"/>
      <c r="V190" s="19"/>
      <c r="W190" s="18"/>
      <c r="X190" s="87">
        <v>0.4</v>
      </c>
      <c r="Y190" s="19"/>
      <c r="Z190" s="20">
        <v>0.15</v>
      </c>
      <c r="AA190" s="9"/>
      <c r="AB190" s="15"/>
      <c r="AC190" s="33">
        <v>0.73</v>
      </c>
      <c r="AD190" s="9"/>
      <c r="AE190" s="32"/>
      <c r="AF190" s="9">
        <v>0.98</v>
      </c>
      <c r="AG190" s="9"/>
      <c r="AH190" s="19"/>
      <c r="AI190" s="18"/>
      <c r="AJ190" s="87">
        <v>0.53</v>
      </c>
      <c r="AK190" s="19"/>
      <c r="AL190" s="92"/>
      <c r="AM190" s="87">
        <v>0.38</v>
      </c>
      <c r="AN190" s="13"/>
      <c r="AO190" s="15"/>
      <c r="AP190" s="15"/>
      <c r="AQ190" s="91"/>
    </row>
    <row r="191" spans="1:43" x14ac:dyDescent="0.15">
      <c r="A191" s="147">
        <v>38018</v>
      </c>
      <c r="B191" s="20">
        <v>0</v>
      </c>
      <c r="C191" s="9"/>
      <c r="D191" s="2"/>
      <c r="E191" s="33">
        <v>0.28000000000000003</v>
      </c>
      <c r="F191" s="9"/>
      <c r="G191" s="34"/>
      <c r="H191" s="9">
        <v>0.65</v>
      </c>
      <c r="I191" s="9"/>
      <c r="J191" s="21"/>
      <c r="K191" s="28"/>
      <c r="L191" s="9">
        <v>0.21</v>
      </c>
      <c r="M191" s="19"/>
      <c r="N191" s="22">
        <v>2E-3</v>
      </c>
      <c r="O191" s="14"/>
      <c r="P191" s="1"/>
      <c r="Q191" s="46">
        <v>0.34799999999999998</v>
      </c>
      <c r="R191" s="73"/>
      <c r="S191" s="32"/>
      <c r="T191" s="14">
        <v>0.86199999999999999</v>
      </c>
      <c r="U191" s="14"/>
      <c r="V191" s="19"/>
      <c r="W191" s="18"/>
      <c r="X191" s="87">
        <v>0.4</v>
      </c>
      <c r="Y191" s="19"/>
      <c r="Z191" s="20">
        <v>0.15</v>
      </c>
      <c r="AA191" s="9"/>
      <c r="AB191" s="15"/>
      <c r="AC191" s="33">
        <v>0.73</v>
      </c>
      <c r="AD191" s="9"/>
      <c r="AE191" s="32"/>
      <c r="AF191" s="9">
        <v>0.98</v>
      </c>
      <c r="AG191" s="9"/>
      <c r="AH191" s="19"/>
      <c r="AI191" s="18"/>
      <c r="AJ191" s="87">
        <v>0.53</v>
      </c>
      <c r="AK191" s="19"/>
      <c r="AL191" s="92"/>
      <c r="AM191" s="87">
        <v>0.37</v>
      </c>
      <c r="AN191" s="13"/>
      <c r="AO191" s="15"/>
      <c r="AP191" s="15"/>
      <c r="AQ191" s="91"/>
    </row>
    <row r="192" spans="1:43" x14ac:dyDescent="0.15">
      <c r="A192" s="147">
        <v>37987</v>
      </c>
      <c r="B192" s="20">
        <v>0</v>
      </c>
      <c r="C192" s="9"/>
      <c r="D192" s="2"/>
      <c r="E192" s="33">
        <v>0.28999999999999998</v>
      </c>
      <c r="F192" s="9"/>
      <c r="G192" s="34"/>
      <c r="H192" s="9">
        <v>0.56999999999999995</v>
      </c>
      <c r="I192" s="9"/>
      <c r="J192" s="21"/>
      <c r="K192" s="28"/>
      <c r="L192" s="9">
        <v>0.26</v>
      </c>
      <c r="M192" s="19"/>
      <c r="N192" s="22">
        <v>2E-3</v>
      </c>
      <c r="O192" s="14"/>
      <c r="P192" s="1"/>
      <c r="Q192" s="46">
        <v>0.35499999999999998</v>
      </c>
      <c r="R192" s="73"/>
      <c r="S192" s="32"/>
      <c r="T192" s="14">
        <v>0.875</v>
      </c>
      <c r="U192" s="14"/>
      <c r="V192" s="19"/>
      <c r="W192" s="18"/>
      <c r="X192" s="87">
        <v>0.4</v>
      </c>
      <c r="Y192" s="19"/>
      <c r="Z192" s="20">
        <v>0.17</v>
      </c>
      <c r="AA192" s="9"/>
      <c r="AB192" s="15"/>
      <c r="AC192" s="33">
        <v>0.75</v>
      </c>
      <c r="AD192" s="9"/>
      <c r="AE192" s="32"/>
      <c r="AF192" s="9">
        <v>0.99</v>
      </c>
      <c r="AG192" s="9"/>
      <c r="AH192" s="19"/>
      <c r="AI192" s="18"/>
      <c r="AJ192" s="87">
        <v>0.53</v>
      </c>
      <c r="AK192" s="19"/>
      <c r="AL192" s="92"/>
      <c r="AM192" s="87">
        <v>0.39</v>
      </c>
      <c r="AN192" s="13"/>
      <c r="AO192" s="15"/>
      <c r="AP192" s="15"/>
      <c r="AQ192" s="91"/>
    </row>
    <row r="193" spans="1:43" x14ac:dyDescent="0.15">
      <c r="A193" s="147">
        <v>37956</v>
      </c>
      <c r="B193" s="20">
        <v>0</v>
      </c>
      <c r="C193" s="9"/>
      <c r="D193" s="2"/>
      <c r="E193" s="33">
        <v>0.27</v>
      </c>
      <c r="F193" s="9"/>
      <c r="G193" s="34"/>
      <c r="H193" s="9">
        <v>0.56000000000000005</v>
      </c>
      <c r="I193" s="9"/>
      <c r="J193" s="21"/>
      <c r="K193" s="28"/>
      <c r="L193" s="9">
        <v>0.24</v>
      </c>
      <c r="M193" s="19"/>
      <c r="N193" s="22">
        <v>2E-3</v>
      </c>
      <c r="O193" s="14"/>
      <c r="P193" s="1"/>
      <c r="Q193" s="46">
        <v>0.32800000000000001</v>
      </c>
      <c r="R193" s="73"/>
      <c r="S193" s="32"/>
      <c r="T193" s="14">
        <v>0.86</v>
      </c>
      <c r="U193" s="14"/>
      <c r="V193" s="19"/>
      <c r="W193" s="18"/>
      <c r="X193" s="87">
        <v>0.39</v>
      </c>
      <c r="Y193" s="19"/>
      <c r="Z193" s="20">
        <v>0.16</v>
      </c>
      <c r="AA193" s="9"/>
      <c r="AB193" s="15"/>
      <c r="AC193" s="33">
        <v>0.73</v>
      </c>
      <c r="AD193" s="9"/>
      <c r="AE193" s="32"/>
      <c r="AF193" s="9">
        <v>0.98</v>
      </c>
      <c r="AG193" s="9"/>
      <c r="AH193" s="19"/>
      <c r="AI193" s="18"/>
      <c r="AJ193" s="87">
        <v>0.54</v>
      </c>
      <c r="AK193" s="19"/>
      <c r="AL193" s="92"/>
      <c r="AM193" s="87">
        <v>0.37</v>
      </c>
      <c r="AN193" s="13"/>
      <c r="AO193" s="15"/>
      <c r="AP193" s="15"/>
      <c r="AQ193" s="91"/>
    </row>
    <row r="194" spans="1:43" x14ac:dyDescent="0.15">
      <c r="A194" s="147">
        <v>37926</v>
      </c>
      <c r="B194" s="20">
        <v>0</v>
      </c>
      <c r="C194" s="9"/>
      <c r="D194" s="2"/>
      <c r="E194" s="33">
        <v>0.24</v>
      </c>
      <c r="F194" s="9"/>
      <c r="G194" s="34"/>
      <c r="H194" s="9">
        <v>0.54</v>
      </c>
      <c r="I194" s="9"/>
      <c r="J194" s="21"/>
      <c r="K194" s="28"/>
      <c r="L194" s="9">
        <v>0.23</v>
      </c>
      <c r="M194" s="19"/>
      <c r="N194" s="22">
        <v>2E-3</v>
      </c>
      <c r="O194" s="14"/>
      <c r="P194" s="1"/>
      <c r="Q194" s="46">
        <v>0.318</v>
      </c>
      <c r="R194" s="73"/>
      <c r="S194" s="32"/>
      <c r="T194" s="14">
        <v>0.86699999999999999</v>
      </c>
      <c r="U194" s="14"/>
      <c r="V194" s="19"/>
      <c r="W194" s="18"/>
      <c r="X194" s="87">
        <v>0.39</v>
      </c>
      <c r="Y194" s="19"/>
      <c r="Z194" s="20">
        <v>0.28000000000000003</v>
      </c>
      <c r="AA194" s="9"/>
      <c r="AB194" s="15"/>
      <c r="AC194" s="33">
        <v>0.6</v>
      </c>
      <c r="AD194" s="9"/>
      <c r="AE194" s="32"/>
      <c r="AF194" s="9">
        <v>0.98</v>
      </c>
      <c r="AG194" s="9"/>
      <c r="AH194" s="19"/>
      <c r="AI194" s="18"/>
      <c r="AJ194" s="87">
        <v>0.51</v>
      </c>
      <c r="AK194" s="19"/>
      <c r="AL194" s="92"/>
      <c r="AM194" s="87">
        <v>0.37</v>
      </c>
      <c r="AN194" s="13"/>
      <c r="AO194" s="15"/>
      <c r="AP194" s="15"/>
      <c r="AQ194" s="91"/>
    </row>
    <row r="195" spans="1:43" x14ac:dyDescent="0.15">
      <c r="A195" s="147">
        <v>37895</v>
      </c>
      <c r="B195" s="20">
        <v>0</v>
      </c>
      <c r="C195" s="9"/>
      <c r="D195" s="2"/>
      <c r="E195" s="33">
        <v>0.25</v>
      </c>
      <c r="F195" s="9"/>
      <c r="G195" s="34"/>
      <c r="H195" s="9">
        <v>0.31</v>
      </c>
      <c r="I195" s="9"/>
      <c r="J195" s="21"/>
      <c r="K195" s="28"/>
      <c r="L195" s="9">
        <v>0.22</v>
      </c>
      <c r="M195" s="19"/>
      <c r="N195" s="22">
        <v>2E-3</v>
      </c>
      <c r="O195" s="14"/>
      <c r="P195" s="1"/>
      <c r="Q195" s="46">
        <v>0.28899999999999998</v>
      </c>
      <c r="R195" s="73"/>
      <c r="S195" s="32"/>
      <c r="T195" s="14">
        <v>0.83599999999999997</v>
      </c>
      <c r="U195" s="14"/>
      <c r="V195" s="19"/>
      <c r="W195" s="18"/>
      <c r="X195" s="87">
        <v>0.37</v>
      </c>
      <c r="Y195" s="19"/>
      <c r="Z195" s="20">
        <v>0.27</v>
      </c>
      <c r="AA195" s="9"/>
      <c r="AB195" s="15"/>
      <c r="AC195" s="33">
        <v>0.43</v>
      </c>
      <c r="AD195" s="9"/>
      <c r="AE195" s="32"/>
      <c r="AF195" s="9">
        <v>1</v>
      </c>
      <c r="AG195" s="9"/>
      <c r="AH195" s="19"/>
      <c r="AI195" s="18"/>
      <c r="AJ195" s="87">
        <v>0.55000000000000004</v>
      </c>
      <c r="AK195" s="19"/>
      <c r="AL195" s="92"/>
      <c r="AM195" s="87">
        <v>0.36</v>
      </c>
      <c r="AN195" s="13"/>
      <c r="AO195" s="15"/>
      <c r="AP195" s="15"/>
      <c r="AQ195" s="91"/>
    </row>
    <row r="196" spans="1:43" x14ac:dyDescent="0.15">
      <c r="A196" s="147">
        <v>37865</v>
      </c>
      <c r="B196" s="20">
        <v>0</v>
      </c>
      <c r="C196" s="9"/>
      <c r="D196" s="2"/>
      <c r="E196" s="33">
        <v>0.24</v>
      </c>
      <c r="F196" s="9"/>
      <c r="G196" s="34"/>
      <c r="H196" s="9">
        <v>0.34</v>
      </c>
      <c r="I196" s="9"/>
      <c r="J196" s="21"/>
      <c r="K196" s="28"/>
      <c r="L196" s="9">
        <v>0.16</v>
      </c>
      <c r="M196" s="19"/>
      <c r="N196" s="22">
        <v>1E-3</v>
      </c>
      <c r="O196" s="14"/>
      <c r="P196" s="1"/>
      <c r="Q196" s="46">
        <v>0.252</v>
      </c>
      <c r="R196" s="73"/>
      <c r="S196" s="32"/>
      <c r="T196" s="14">
        <v>0.81100000000000005</v>
      </c>
      <c r="U196" s="14"/>
      <c r="V196" s="19"/>
      <c r="W196" s="18"/>
      <c r="X196" s="87">
        <v>0.36</v>
      </c>
      <c r="Y196" s="19"/>
      <c r="Z196" s="20">
        <v>0.28000000000000003</v>
      </c>
      <c r="AA196" s="9"/>
      <c r="AB196" s="15"/>
      <c r="AC196" s="33">
        <v>0.54</v>
      </c>
      <c r="AD196" s="9"/>
      <c r="AE196" s="32"/>
      <c r="AF196" s="9">
        <v>1</v>
      </c>
      <c r="AG196" s="9"/>
      <c r="AH196" s="19"/>
      <c r="AI196" s="18"/>
      <c r="AJ196" s="87">
        <v>0.52</v>
      </c>
      <c r="AK196" s="19"/>
      <c r="AL196" s="92"/>
      <c r="AM196" s="87">
        <v>0.33</v>
      </c>
      <c r="AN196" s="13"/>
      <c r="AO196" s="15"/>
      <c r="AP196" s="15"/>
      <c r="AQ196" s="91"/>
    </row>
    <row r="197" spans="1:43" x14ac:dyDescent="0.15">
      <c r="A197" s="147">
        <v>37834</v>
      </c>
      <c r="B197" s="20">
        <v>0</v>
      </c>
      <c r="C197" s="9"/>
      <c r="D197" s="2"/>
      <c r="E197" s="33">
        <v>0.26</v>
      </c>
      <c r="F197" s="9"/>
      <c r="G197" s="34"/>
      <c r="H197" s="9">
        <v>0.28999999999999998</v>
      </c>
      <c r="I197" s="9"/>
      <c r="J197" s="21"/>
      <c r="K197" s="28"/>
      <c r="L197" s="9">
        <v>0.16</v>
      </c>
      <c r="M197" s="19"/>
      <c r="N197" s="22">
        <v>1E-3</v>
      </c>
      <c r="O197" s="14"/>
      <c r="P197" s="1"/>
      <c r="Q197" s="46">
        <v>0.251</v>
      </c>
      <c r="R197" s="73"/>
      <c r="S197" s="32"/>
      <c r="T197" s="14">
        <v>0.81699999999999995</v>
      </c>
      <c r="U197" s="14"/>
      <c r="V197" s="19"/>
      <c r="W197" s="18"/>
      <c r="X197" s="87">
        <v>0.36</v>
      </c>
      <c r="Y197" s="19"/>
      <c r="Z197" s="20">
        <v>0.36</v>
      </c>
      <c r="AA197" s="9"/>
      <c r="AB197" s="15"/>
      <c r="AC197" s="33">
        <v>0.57999999999999996</v>
      </c>
      <c r="AD197" s="9"/>
      <c r="AE197" s="32"/>
      <c r="AF197" s="9">
        <v>1</v>
      </c>
      <c r="AG197" s="9"/>
      <c r="AH197" s="19"/>
      <c r="AI197" s="18"/>
      <c r="AJ197" s="87">
        <v>0.54</v>
      </c>
      <c r="AK197" s="19"/>
      <c r="AL197" s="92"/>
      <c r="AM197" s="87">
        <v>0.34</v>
      </c>
      <c r="AN197" s="13"/>
      <c r="AO197" s="15"/>
      <c r="AP197" s="15"/>
      <c r="AQ197" s="91"/>
    </row>
    <row r="198" spans="1:43" x14ac:dyDescent="0.15">
      <c r="A198" s="147">
        <v>37803</v>
      </c>
      <c r="B198" s="20">
        <v>0</v>
      </c>
      <c r="C198" s="9"/>
      <c r="D198" s="2"/>
      <c r="E198" s="33">
        <v>0.27</v>
      </c>
      <c r="F198" s="9"/>
      <c r="G198" s="34"/>
      <c r="H198" s="9">
        <v>0.36</v>
      </c>
      <c r="I198" s="9"/>
      <c r="J198" s="21"/>
      <c r="K198" s="28"/>
      <c r="L198" s="9">
        <v>0.15</v>
      </c>
      <c r="M198" s="19"/>
      <c r="N198" s="22">
        <v>1E-3</v>
      </c>
      <c r="O198" s="14"/>
      <c r="P198" s="1"/>
      <c r="Q198" s="46">
        <v>0.248</v>
      </c>
      <c r="R198" s="73"/>
      <c r="S198" s="32"/>
      <c r="T198" s="14">
        <v>0.80300000000000005</v>
      </c>
      <c r="U198" s="14"/>
      <c r="V198" s="19"/>
      <c r="W198" s="18"/>
      <c r="X198" s="87">
        <v>0.35</v>
      </c>
      <c r="Y198" s="19"/>
      <c r="Z198" s="20">
        <v>0.34</v>
      </c>
      <c r="AA198" s="9"/>
      <c r="AB198" s="15"/>
      <c r="AC198" s="33">
        <v>0.68</v>
      </c>
      <c r="AD198" s="9"/>
      <c r="AE198" s="32"/>
      <c r="AF198" s="9">
        <v>1</v>
      </c>
      <c r="AG198" s="9"/>
      <c r="AH198" s="19"/>
      <c r="AI198" s="18"/>
      <c r="AJ198" s="87">
        <v>0.59</v>
      </c>
      <c r="AK198" s="19"/>
      <c r="AL198" s="92"/>
      <c r="AM198" s="87">
        <v>0.33</v>
      </c>
      <c r="AN198" s="13"/>
      <c r="AO198" s="15"/>
      <c r="AP198" s="15"/>
      <c r="AQ198" s="91"/>
    </row>
    <row r="199" spans="1:43" x14ac:dyDescent="0.15">
      <c r="A199" s="147">
        <v>37773</v>
      </c>
      <c r="B199" s="20">
        <v>0</v>
      </c>
      <c r="C199" s="9"/>
      <c r="D199" s="2"/>
      <c r="E199" s="33">
        <v>0.27</v>
      </c>
      <c r="F199" s="9"/>
      <c r="G199" s="34"/>
      <c r="H199" s="9">
        <v>0.37</v>
      </c>
      <c r="I199" s="9"/>
      <c r="J199" s="21"/>
      <c r="K199" s="28"/>
      <c r="L199" s="9">
        <v>0.17</v>
      </c>
      <c r="M199" s="19"/>
      <c r="N199" s="22">
        <v>1E-3</v>
      </c>
      <c r="O199" s="14"/>
      <c r="P199" s="1"/>
      <c r="Q199" s="46">
        <v>0.254</v>
      </c>
      <c r="R199" s="73"/>
      <c r="S199" s="32"/>
      <c r="T199" s="14">
        <v>0.77300000000000002</v>
      </c>
      <c r="U199" s="14"/>
      <c r="V199" s="19"/>
      <c r="W199" s="18"/>
      <c r="X199" s="87">
        <v>0.34</v>
      </c>
      <c r="Y199" s="19"/>
      <c r="Z199" s="20">
        <v>0.33</v>
      </c>
      <c r="AA199" s="9"/>
      <c r="AB199" s="15"/>
      <c r="AC199" s="20">
        <v>0.67</v>
      </c>
      <c r="AD199" s="9"/>
      <c r="AF199" s="20">
        <v>1</v>
      </c>
      <c r="AG199" s="9"/>
      <c r="AH199" s="19"/>
      <c r="AI199" s="18"/>
      <c r="AJ199" s="87">
        <v>0.6</v>
      </c>
      <c r="AK199" s="19"/>
      <c r="AL199" s="92"/>
      <c r="AM199" s="87">
        <v>0.33</v>
      </c>
      <c r="AN199" s="13"/>
      <c r="AO199" s="15"/>
      <c r="AP199" s="15"/>
      <c r="AQ199" s="91"/>
    </row>
    <row r="200" spans="1:43" x14ac:dyDescent="0.15">
      <c r="A200" s="147">
        <v>37742</v>
      </c>
      <c r="B200" s="20">
        <v>0</v>
      </c>
      <c r="C200" s="9"/>
      <c r="D200" s="2"/>
      <c r="E200" s="33">
        <v>0.28000000000000003</v>
      </c>
      <c r="F200" s="9"/>
      <c r="G200" s="34"/>
      <c r="H200" s="9">
        <v>0.19</v>
      </c>
      <c r="I200" s="9"/>
      <c r="J200" s="21"/>
      <c r="K200" s="28"/>
      <c r="L200" s="9">
        <v>0.17</v>
      </c>
      <c r="M200" s="19"/>
      <c r="N200" s="22">
        <v>1E-3</v>
      </c>
      <c r="O200" s="14"/>
      <c r="P200" s="1"/>
      <c r="Q200" s="46">
        <v>0.254</v>
      </c>
      <c r="R200" s="73"/>
      <c r="S200" s="32"/>
      <c r="T200" s="14">
        <v>0.77400000000000002</v>
      </c>
      <c r="U200" s="14"/>
      <c r="V200" s="19"/>
      <c r="W200" s="18"/>
      <c r="X200" s="87">
        <v>0.34</v>
      </c>
      <c r="Y200" s="19"/>
      <c r="Z200" s="20">
        <v>0.31</v>
      </c>
      <c r="AA200" s="9"/>
      <c r="AB200" s="15"/>
      <c r="AC200" s="20">
        <v>0.65</v>
      </c>
      <c r="AD200" s="9"/>
      <c r="AE200" s="32"/>
      <c r="AF200" s="20">
        <v>0.99</v>
      </c>
      <c r="AG200" s="9"/>
      <c r="AH200" s="19"/>
      <c r="AI200" s="18"/>
      <c r="AJ200" s="87">
        <v>0.59</v>
      </c>
      <c r="AK200" s="19"/>
      <c r="AL200" s="92"/>
      <c r="AM200" s="87">
        <v>0.33</v>
      </c>
      <c r="AN200" s="13"/>
      <c r="AO200" s="15"/>
      <c r="AP200" s="15"/>
      <c r="AQ200" s="91"/>
    </row>
    <row r="201" spans="1:43" x14ac:dyDescent="0.15">
      <c r="A201" s="147">
        <v>37712</v>
      </c>
      <c r="B201" s="20">
        <v>0</v>
      </c>
      <c r="C201" s="9"/>
      <c r="D201" s="2"/>
      <c r="E201" s="33">
        <v>0.27</v>
      </c>
      <c r="F201" s="9"/>
      <c r="G201" s="34"/>
      <c r="H201" s="9">
        <v>0.36</v>
      </c>
      <c r="I201" s="9"/>
      <c r="J201" s="21"/>
      <c r="K201" s="28"/>
      <c r="L201" s="9">
        <v>0.13</v>
      </c>
      <c r="M201" s="19"/>
      <c r="N201" s="22">
        <v>1E-3</v>
      </c>
      <c r="O201" s="14"/>
      <c r="P201" s="1"/>
      <c r="Q201" s="46">
        <v>0.26100000000000001</v>
      </c>
      <c r="R201" s="73"/>
      <c r="S201" s="32"/>
      <c r="T201" s="14">
        <v>0.753</v>
      </c>
      <c r="U201" s="14"/>
      <c r="V201" s="19"/>
      <c r="W201" s="18"/>
      <c r="X201" s="87">
        <v>0.34</v>
      </c>
      <c r="Y201" s="19"/>
      <c r="Z201" s="20">
        <v>0.31</v>
      </c>
      <c r="AA201" s="9"/>
      <c r="AB201" s="15"/>
      <c r="AC201" s="20">
        <v>0.63</v>
      </c>
      <c r="AD201" s="9"/>
      <c r="AE201" s="32"/>
      <c r="AF201" s="20">
        <v>1</v>
      </c>
      <c r="AG201" s="9"/>
      <c r="AH201" s="19"/>
      <c r="AI201" s="18"/>
      <c r="AJ201" s="87">
        <v>0.57999999999999996</v>
      </c>
      <c r="AK201" s="19"/>
      <c r="AL201" s="92"/>
      <c r="AM201" s="87">
        <v>0.32</v>
      </c>
      <c r="AN201" s="13"/>
      <c r="AO201" s="15"/>
      <c r="AP201" s="15"/>
      <c r="AQ201" s="91"/>
    </row>
    <row r="202" spans="1:43" x14ac:dyDescent="0.15">
      <c r="A202" s="147">
        <v>37681</v>
      </c>
      <c r="B202" s="20"/>
      <c r="C202" s="9"/>
      <c r="D202" s="2"/>
      <c r="E202" s="33"/>
      <c r="F202" s="9"/>
      <c r="G202" s="34"/>
      <c r="H202" s="9"/>
      <c r="I202" s="9"/>
      <c r="J202" s="21"/>
      <c r="K202" s="28"/>
      <c r="L202" s="9">
        <v>0.17</v>
      </c>
      <c r="M202" s="19"/>
      <c r="N202" s="22">
        <v>0</v>
      </c>
      <c r="O202" s="14"/>
      <c r="P202" s="1"/>
      <c r="Q202" s="46">
        <v>0.26300000000000001</v>
      </c>
      <c r="R202" s="73"/>
      <c r="S202" s="32"/>
      <c r="T202" s="14">
        <v>0.74199999999999999</v>
      </c>
      <c r="U202" s="14"/>
      <c r="V202" s="19"/>
      <c r="W202" s="18"/>
      <c r="X202" s="87">
        <v>0.33</v>
      </c>
      <c r="Y202" s="19"/>
      <c r="Z202" s="20"/>
      <c r="AA202" s="9"/>
      <c r="AB202" s="15"/>
      <c r="AC202" s="20"/>
      <c r="AD202" s="9"/>
      <c r="AE202" s="32"/>
      <c r="AF202" s="20"/>
      <c r="AG202" s="9"/>
      <c r="AH202" s="19"/>
      <c r="AI202" s="18"/>
      <c r="AJ202" s="87">
        <v>0.57999999999999996</v>
      </c>
      <c r="AK202" s="19"/>
      <c r="AL202" s="92"/>
      <c r="AM202" s="87">
        <v>0.32</v>
      </c>
      <c r="AN202" s="13"/>
      <c r="AO202" s="15"/>
      <c r="AP202" s="15"/>
      <c r="AQ202" s="91"/>
    </row>
    <row r="203" spans="1:43" x14ac:dyDescent="0.15">
      <c r="A203" s="147">
        <v>37653</v>
      </c>
      <c r="B203" s="20">
        <v>0</v>
      </c>
      <c r="C203" s="9"/>
      <c r="D203" s="2"/>
      <c r="E203" s="33">
        <v>0.3</v>
      </c>
      <c r="F203" s="9"/>
      <c r="G203" s="34"/>
      <c r="H203" s="9">
        <v>0.31</v>
      </c>
      <c r="I203" s="9"/>
      <c r="J203" s="21"/>
      <c r="K203" s="28"/>
      <c r="L203" s="9"/>
      <c r="M203" s="19"/>
      <c r="N203" s="22">
        <v>0</v>
      </c>
      <c r="O203" s="14"/>
      <c r="P203" s="1"/>
      <c r="Q203" s="46">
        <v>0.26700000000000002</v>
      </c>
      <c r="R203" s="73"/>
      <c r="S203" s="32"/>
      <c r="T203" s="14">
        <v>0.745</v>
      </c>
      <c r="U203" s="14"/>
      <c r="V203" s="19"/>
      <c r="W203" s="18"/>
      <c r="X203" s="87"/>
      <c r="Y203" s="19"/>
      <c r="Z203" s="20">
        <v>0.31</v>
      </c>
      <c r="AA203" s="9"/>
      <c r="AB203" s="15"/>
      <c r="AC203" s="20">
        <v>0.63</v>
      </c>
      <c r="AD203" s="9"/>
      <c r="AE203" s="32"/>
      <c r="AF203" s="20">
        <v>1</v>
      </c>
      <c r="AG203" s="9"/>
      <c r="AH203" s="19"/>
      <c r="AI203" s="18"/>
      <c r="AJ203" s="87"/>
      <c r="AK203" s="19"/>
      <c r="AL203" s="92"/>
      <c r="AM203" s="87"/>
      <c r="AN203" s="13"/>
      <c r="AO203" s="15"/>
      <c r="AP203" s="15"/>
      <c r="AQ203" s="91"/>
    </row>
    <row r="204" spans="1:43" x14ac:dyDescent="0.15">
      <c r="A204" s="147">
        <v>37622</v>
      </c>
      <c r="B204" s="20">
        <v>0</v>
      </c>
      <c r="C204" s="9"/>
      <c r="D204" s="2"/>
      <c r="E204" s="33">
        <v>0.32</v>
      </c>
      <c r="F204" s="9"/>
      <c r="G204" s="34"/>
      <c r="H204" s="9">
        <v>0.48</v>
      </c>
      <c r="I204" s="9"/>
      <c r="J204" s="21"/>
      <c r="K204" s="28"/>
      <c r="L204" s="9">
        <v>0.17</v>
      </c>
      <c r="M204" s="19"/>
      <c r="N204" s="22">
        <v>0</v>
      </c>
      <c r="O204" s="14"/>
      <c r="P204" s="1"/>
      <c r="Q204" s="46">
        <v>0.27500000000000002</v>
      </c>
      <c r="R204" s="73"/>
      <c r="S204" s="32"/>
      <c r="T204" s="14">
        <v>0.73199999999999998</v>
      </c>
      <c r="U204" s="14"/>
      <c r="V204" s="19"/>
      <c r="W204" s="18"/>
      <c r="X204" s="87">
        <v>0.33</v>
      </c>
      <c r="Y204" s="19"/>
      <c r="Z204" s="20">
        <v>0.33</v>
      </c>
      <c r="AA204" s="9"/>
      <c r="AB204" s="15"/>
      <c r="AC204" s="20">
        <v>0.65</v>
      </c>
      <c r="AD204" s="9"/>
      <c r="AE204" s="32"/>
      <c r="AF204" s="20">
        <v>1</v>
      </c>
      <c r="AG204" s="9"/>
      <c r="AH204" s="19"/>
      <c r="AI204" s="18"/>
      <c r="AJ204" s="87">
        <v>0.56999999999999995</v>
      </c>
      <c r="AK204" s="19"/>
      <c r="AL204" s="92"/>
      <c r="AM204" s="87">
        <v>0.32</v>
      </c>
      <c r="AN204" s="13"/>
      <c r="AO204" s="15"/>
      <c r="AP204" s="15"/>
      <c r="AQ204" s="91"/>
    </row>
    <row r="205" spans="1:43" x14ac:dyDescent="0.15">
      <c r="A205" s="147">
        <v>37591</v>
      </c>
      <c r="B205" s="20">
        <v>0</v>
      </c>
      <c r="C205" s="9"/>
      <c r="D205" s="2"/>
      <c r="E205" s="33">
        <v>0.32</v>
      </c>
      <c r="F205" s="9"/>
      <c r="G205" s="34"/>
      <c r="H205" s="9">
        <v>0.53</v>
      </c>
      <c r="I205" s="9"/>
      <c r="J205" s="21"/>
      <c r="K205" s="28"/>
      <c r="L205" s="9">
        <v>0.22</v>
      </c>
      <c r="M205" s="19"/>
      <c r="N205" s="22">
        <v>0</v>
      </c>
      <c r="O205" s="14"/>
      <c r="P205" s="1"/>
      <c r="Q205" s="46">
        <v>0.29499999999999998</v>
      </c>
      <c r="R205" s="73"/>
      <c r="S205" s="32"/>
      <c r="T205" s="14">
        <v>0.72</v>
      </c>
      <c r="U205" s="14"/>
      <c r="V205" s="19"/>
      <c r="W205" s="18"/>
      <c r="X205" s="87">
        <v>0.33</v>
      </c>
      <c r="Y205" s="19"/>
      <c r="Z205" s="20">
        <v>0.33</v>
      </c>
      <c r="AA205" s="9"/>
      <c r="AB205" s="15"/>
      <c r="AC205" s="20">
        <v>0.65</v>
      </c>
      <c r="AD205" s="9"/>
      <c r="AE205" s="32"/>
      <c r="AF205" s="20">
        <v>0.99</v>
      </c>
      <c r="AG205" s="9"/>
      <c r="AH205" s="19"/>
      <c r="AI205" s="18"/>
      <c r="AJ205" s="87">
        <v>0.59</v>
      </c>
      <c r="AK205" s="19"/>
      <c r="AL205" s="92"/>
      <c r="AM205" s="87">
        <v>0.33</v>
      </c>
      <c r="AN205" s="13"/>
      <c r="AO205" s="15"/>
      <c r="AP205" s="15"/>
      <c r="AQ205" s="91"/>
    </row>
    <row r="206" spans="1:43" x14ac:dyDescent="0.15">
      <c r="A206" s="147">
        <v>37561</v>
      </c>
      <c r="B206" s="20">
        <v>0</v>
      </c>
      <c r="C206" s="9"/>
      <c r="D206" s="2"/>
      <c r="E206" s="33">
        <v>0.34</v>
      </c>
      <c r="F206" s="9"/>
      <c r="G206" s="34"/>
      <c r="H206" s="9">
        <v>0.48</v>
      </c>
      <c r="I206" s="9"/>
      <c r="J206" s="21"/>
      <c r="K206" s="28"/>
      <c r="L206" s="9">
        <v>0.23</v>
      </c>
      <c r="M206" s="19"/>
      <c r="N206" s="22">
        <v>0</v>
      </c>
      <c r="O206" s="14"/>
      <c r="P206" s="1"/>
      <c r="Q206" s="46">
        <v>0.29099999999999998</v>
      </c>
      <c r="R206" s="73"/>
      <c r="S206" s="32"/>
      <c r="T206" s="14">
        <v>0.76100000000000001</v>
      </c>
      <c r="U206" s="14"/>
      <c r="V206" s="19"/>
      <c r="W206" s="18"/>
      <c r="X206" s="87">
        <v>0.35</v>
      </c>
      <c r="Y206" s="19"/>
      <c r="Z206" s="20">
        <v>0.32</v>
      </c>
      <c r="AA206" s="9"/>
      <c r="AB206" s="15"/>
      <c r="AC206" s="20">
        <v>0.64</v>
      </c>
      <c r="AD206" s="9"/>
      <c r="AE206" s="32"/>
      <c r="AF206" s="20">
        <v>0.98</v>
      </c>
      <c r="AG206" s="9"/>
      <c r="AH206" s="19"/>
      <c r="AI206" s="18"/>
      <c r="AJ206" s="87">
        <v>0.59</v>
      </c>
      <c r="AK206" s="19"/>
      <c r="AL206" s="92"/>
      <c r="AM206" s="87">
        <v>0.34</v>
      </c>
      <c r="AN206" s="13"/>
      <c r="AO206" s="15"/>
      <c r="AP206" s="15"/>
      <c r="AQ206" s="91"/>
    </row>
    <row r="207" spans="1:43" x14ac:dyDescent="0.15">
      <c r="A207" s="147">
        <v>37530</v>
      </c>
      <c r="B207" s="20">
        <v>0</v>
      </c>
      <c r="C207" s="9"/>
      <c r="D207" s="2"/>
      <c r="E207" s="33">
        <v>0.31</v>
      </c>
      <c r="F207" s="9"/>
      <c r="G207" s="34"/>
      <c r="H207" s="9">
        <v>0.44</v>
      </c>
      <c r="I207" s="9"/>
      <c r="J207" s="21"/>
      <c r="K207" s="28"/>
      <c r="L207" s="9">
        <v>0.23</v>
      </c>
      <c r="M207" s="19"/>
      <c r="N207" s="22">
        <v>0</v>
      </c>
      <c r="O207" s="14"/>
      <c r="P207" s="1"/>
      <c r="Q207" s="46">
        <v>0.29799999999999999</v>
      </c>
      <c r="R207" s="73"/>
      <c r="S207" s="32"/>
      <c r="T207" s="14">
        <v>0.79600000000000004</v>
      </c>
      <c r="U207" s="14"/>
      <c r="V207" s="19"/>
      <c r="W207" s="18"/>
      <c r="X207" s="87">
        <v>0.38</v>
      </c>
      <c r="Y207" s="19"/>
      <c r="Z207" s="20">
        <v>0.33</v>
      </c>
      <c r="AA207" s="9"/>
      <c r="AB207" s="15"/>
      <c r="AC207" s="20">
        <v>0.59</v>
      </c>
      <c r="AD207" s="9"/>
      <c r="AE207" s="32"/>
      <c r="AF207" s="20">
        <v>1</v>
      </c>
      <c r="AG207" s="9"/>
      <c r="AH207" s="19"/>
      <c r="AI207" s="18"/>
      <c r="AJ207" s="87">
        <v>0.57999999999999996</v>
      </c>
      <c r="AK207" s="19"/>
      <c r="AL207" s="92"/>
      <c r="AM207" s="87">
        <v>0.37</v>
      </c>
      <c r="AN207" s="13"/>
      <c r="AO207" s="15"/>
      <c r="AP207" s="15"/>
      <c r="AQ207" s="91"/>
    </row>
    <row r="208" spans="1:43" x14ac:dyDescent="0.15">
      <c r="A208" s="147">
        <v>37500</v>
      </c>
      <c r="B208" s="20">
        <v>0</v>
      </c>
      <c r="C208" s="9"/>
      <c r="D208" s="2"/>
      <c r="E208" s="33">
        <v>0.32</v>
      </c>
      <c r="F208" s="9"/>
      <c r="G208" s="34"/>
      <c r="H208" s="9">
        <v>0.43</v>
      </c>
      <c r="I208" s="9"/>
      <c r="J208" s="21"/>
      <c r="K208" s="28"/>
      <c r="L208" s="9">
        <v>0.21</v>
      </c>
      <c r="M208" s="19"/>
      <c r="N208" s="22">
        <v>0</v>
      </c>
      <c r="O208" s="14"/>
      <c r="P208" s="1"/>
      <c r="Q208" s="46">
        <v>0.30299999999999999</v>
      </c>
      <c r="R208" s="73"/>
      <c r="S208" s="32"/>
      <c r="T208" s="14">
        <v>0.79700000000000004</v>
      </c>
      <c r="U208" s="14"/>
      <c r="V208" s="19"/>
      <c r="W208" s="18"/>
      <c r="X208" s="87">
        <v>0.39</v>
      </c>
      <c r="Y208" s="19"/>
      <c r="Z208" s="20">
        <v>0.31</v>
      </c>
      <c r="AA208" s="9"/>
      <c r="AB208" s="15"/>
      <c r="AC208" s="20">
        <v>0.65</v>
      </c>
      <c r="AD208" s="9"/>
      <c r="AE208" s="32"/>
      <c r="AF208" s="20">
        <v>0.99</v>
      </c>
      <c r="AG208" s="9"/>
      <c r="AH208" s="19"/>
      <c r="AI208" s="18"/>
      <c r="AJ208" s="87">
        <v>0.56999999999999995</v>
      </c>
      <c r="AK208" s="19"/>
      <c r="AL208" s="92"/>
      <c r="AM208" s="87">
        <v>0.37</v>
      </c>
      <c r="AN208" s="13"/>
      <c r="AO208" s="15"/>
      <c r="AP208" s="15"/>
      <c r="AQ208" s="91"/>
    </row>
    <row r="209" spans="1:43" x14ac:dyDescent="0.15">
      <c r="A209" s="147">
        <v>37469</v>
      </c>
      <c r="B209" s="20">
        <v>0</v>
      </c>
      <c r="C209" s="9"/>
      <c r="D209" s="2"/>
      <c r="E209" s="33">
        <v>0.35</v>
      </c>
      <c r="F209" s="9"/>
      <c r="G209" s="34"/>
      <c r="H209" s="9">
        <v>0.43</v>
      </c>
      <c r="I209" s="9"/>
      <c r="J209" s="21"/>
      <c r="K209" s="28"/>
      <c r="L209" s="9">
        <v>0.2</v>
      </c>
      <c r="M209" s="19"/>
      <c r="N209" s="22">
        <v>0</v>
      </c>
      <c r="O209" s="14"/>
      <c r="P209" s="1"/>
      <c r="Q209" s="46">
        <v>0.316</v>
      </c>
      <c r="R209" s="73"/>
      <c r="S209" s="32"/>
      <c r="T209" s="14">
        <v>0.79600000000000004</v>
      </c>
      <c r="U209" s="14"/>
      <c r="V209" s="19"/>
      <c r="W209" s="18"/>
      <c r="X209" s="87">
        <v>0.39</v>
      </c>
      <c r="Y209" s="19"/>
      <c r="Z209" s="20">
        <v>0.31</v>
      </c>
      <c r="AA209" s="9"/>
      <c r="AB209" s="15"/>
      <c r="AC209" s="20">
        <v>0.69</v>
      </c>
      <c r="AD209" s="9"/>
      <c r="AE209" s="32"/>
      <c r="AF209" s="20">
        <v>0.99</v>
      </c>
      <c r="AG209" s="9"/>
      <c r="AH209" s="19"/>
      <c r="AI209" s="18"/>
      <c r="AJ209" s="87">
        <v>0.56999999999999995</v>
      </c>
      <c r="AK209" s="19"/>
      <c r="AL209" s="92"/>
      <c r="AM209" s="87">
        <v>0.37</v>
      </c>
      <c r="AN209" s="13"/>
      <c r="AO209" s="15"/>
      <c r="AP209" s="15"/>
      <c r="AQ209" s="91"/>
    </row>
    <row r="210" spans="1:43" x14ac:dyDescent="0.15">
      <c r="A210" s="147">
        <v>37438</v>
      </c>
      <c r="B210" s="20">
        <v>0</v>
      </c>
      <c r="C210" s="9"/>
      <c r="D210" s="2"/>
      <c r="E210" s="33">
        <v>0.35</v>
      </c>
      <c r="F210" s="9"/>
      <c r="G210" s="34"/>
      <c r="H210" s="9">
        <v>0.49</v>
      </c>
      <c r="I210" s="9"/>
      <c r="J210" s="21"/>
      <c r="K210" s="28"/>
      <c r="L210" s="9">
        <v>0.21</v>
      </c>
      <c r="M210" s="19"/>
      <c r="N210" s="22">
        <v>0</v>
      </c>
      <c r="O210" s="14"/>
      <c r="P210" s="1"/>
      <c r="Q210" s="46">
        <v>0.32500000000000001</v>
      </c>
      <c r="R210" s="73"/>
      <c r="S210" s="32"/>
      <c r="T210" s="14">
        <v>0.79700000000000004</v>
      </c>
      <c r="U210" s="14"/>
      <c r="V210" s="19"/>
      <c r="W210" s="18"/>
      <c r="X210" s="87">
        <v>0.39</v>
      </c>
      <c r="Y210" s="19"/>
      <c r="Z210" s="20">
        <v>0.28999999999999998</v>
      </c>
      <c r="AA210" s="9"/>
      <c r="AB210" s="15"/>
      <c r="AC210" s="20">
        <v>0.65</v>
      </c>
      <c r="AD210" s="9"/>
      <c r="AE210" s="32"/>
      <c r="AF210" s="20">
        <v>1</v>
      </c>
      <c r="AG210" s="9"/>
      <c r="AH210" s="19"/>
      <c r="AI210" s="18"/>
      <c r="AJ210" s="87">
        <v>0.57999999999999996</v>
      </c>
      <c r="AK210" s="19"/>
      <c r="AL210" s="92"/>
      <c r="AM210" s="87">
        <v>0.37</v>
      </c>
      <c r="AN210" s="13"/>
      <c r="AO210" s="15"/>
      <c r="AP210" s="15"/>
      <c r="AQ210" s="91"/>
    </row>
    <row r="211" spans="1:43" x14ac:dyDescent="0.15">
      <c r="A211" s="147">
        <v>37408</v>
      </c>
      <c r="B211" s="20">
        <v>0</v>
      </c>
      <c r="C211" s="9"/>
      <c r="D211" s="2"/>
      <c r="E211" s="33">
        <v>0.35</v>
      </c>
      <c r="F211" s="9"/>
      <c r="G211" s="34"/>
      <c r="H211" s="9">
        <v>0.45</v>
      </c>
      <c r="I211" s="9"/>
      <c r="J211" s="21"/>
      <c r="K211" s="28"/>
      <c r="L211" s="9">
        <v>0.23</v>
      </c>
      <c r="M211" s="19"/>
      <c r="N211" s="22">
        <v>0</v>
      </c>
      <c r="O211" s="14"/>
      <c r="P211" s="1"/>
      <c r="Q211" s="46">
        <v>0.32800000000000001</v>
      </c>
      <c r="R211" s="73"/>
      <c r="S211" s="32"/>
      <c r="T211" s="14">
        <v>0.80500000000000005</v>
      </c>
      <c r="U211" s="14"/>
      <c r="V211" s="19"/>
      <c r="W211" s="18"/>
      <c r="X211" s="87">
        <v>0.42</v>
      </c>
      <c r="Y211" s="19"/>
      <c r="Z211" s="20">
        <v>0.2</v>
      </c>
      <c r="AA211" s="9"/>
      <c r="AB211" s="15"/>
      <c r="AC211" s="20">
        <v>0.65</v>
      </c>
      <c r="AD211" s="9"/>
      <c r="AE211" s="32"/>
      <c r="AF211" s="20">
        <v>0.99</v>
      </c>
      <c r="AG211" s="9"/>
      <c r="AH211" s="19"/>
      <c r="AI211" s="18"/>
      <c r="AJ211" s="87">
        <v>0.56999999999999995</v>
      </c>
      <c r="AK211" s="19"/>
      <c r="AL211" s="92"/>
      <c r="AM211" s="87">
        <v>0.4</v>
      </c>
      <c r="AN211" s="13"/>
      <c r="AO211" s="15"/>
      <c r="AP211" s="15"/>
      <c r="AQ211" s="91"/>
    </row>
    <row r="212" spans="1:43" x14ac:dyDescent="0.15">
      <c r="A212" s="147">
        <v>37377</v>
      </c>
      <c r="B212" s="20">
        <v>0</v>
      </c>
      <c r="C212" s="9"/>
      <c r="D212" s="2"/>
      <c r="E212" s="33">
        <v>0.35</v>
      </c>
      <c r="F212" s="9"/>
      <c r="G212" s="34"/>
      <c r="H212" s="9">
        <v>0.86</v>
      </c>
      <c r="I212" s="9"/>
      <c r="J212" s="21"/>
      <c r="K212" s="28"/>
      <c r="L212" s="9">
        <v>0.21</v>
      </c>
      <c r="M212" s="19"/>
      <c r="N212" s="22">
        <v>0</v>
      </c>
      <c r="O212" s="14"/>
      <c r="P212" s="1"/>
      <c r="Q212" s="46">
        <v>0.34599999999999997</v>
      </c>
      <c r="R212" s="73"/>
      <c r="S212" s="32"/>
      <c r="T212" s="14">
        <v>0.83199999999999996</v>
      </c>
      <c r="U212" s="14"/>
      <c r="V212" s="19"/>
      <c r="W212" s="18"/>
      <c r="X212" s="87">
        <v>0.44</v>
      </c>
      <c r="Y212" s="19"/>
      <c r="Z212" s="20">
        <v>0.14000000000000001</v>
      </c>
      <c r="AA212" s="9"/>
      <c r="AB212" s="15"/>
      <c r="AC212" s="20">
        <v>0.65</v>
      </c>
      <c r="AD212" s="9"/>
      <c r="AE212" s="32"/>
      <c r="AF212" s="20">
        <v>1</v>
      </c>
      <c r="AG212" s="9"/>
      <c r="AH212" s="19"/>
      <c r="AI212" s="18"/>
      <c r="AJ212" s="87">
        <v>0.52</v>
      </c>
      <c r="AK212" s="19"/>
      <c r="AL212" s="92"/>
      <c r="AM212" s="87">
        <v>0.41</v>
      </c>
      <c r="AN212" s="13"/>
      <c r="AO212" s="15"/>
      <c r="AP212" s="15"/>
      <c r="AQ212" s="91"/>
    </row>
    <row r="213" spans="1:43" x14ac:dyDescent="0.15">
      <c r="A213" s="147">
        <v>37347</v>
      </c>
      <c r="B213" s="20">
        <v>0</v>
      </c>
      <c r="C213" s="9"/>
      <c r="D213" s="2"/>
      <c r="E213" s="33">
        <v>0.32</v>
      </c>
      <c r="F213" s="9"/>
      <c r="G213" s="34"/>
      <c r="H213" s="9">
        <v>0.84</v>
      </c>
      <c r="I213" s="9"/>
      <c r="J213" s="21"/>
      <c r="K213" s="28"/>
      <c r="L213" s="9">
        <v>0.33</v>
      </c>
      <c r="M213" s="19"/>
      <c r="N213" s="22">
        <v>0</v>
      </c>
      <c r="O213" s="14"/>
      <c r="P213" s="1"/>
      <c r="Q213" s="46">
        <v>0.47299999999999998</v>
      </c>
      <c r="R213" s="73"/>
      <c r="S213" s="32"/>
      <c r="T213" s="14">
        <v>0.88700000000000001</v>
      </c>
      <c r="U213" s="14"/>
      <c r="V213" s="19"/>
      <c r="W213" s="18"/>
      <c r="X213" s="87">
        <v>0.49</v>
      </c>
      <c r="Y213" s="19"/>
      <c r="Z213" s="20">
        <v>0.12</v>
      </c>
      <c r="AA213" s="9"/>
      <c r="AB213" s="15"/>
      <c r="AC213" s="20">
        <v>0.65</v>
      </c>
      <c r="AD213" s="9"/>
      <c r="AE213" s="32"/>
      <c r="AF213" s="20">
        <v>0.99</v>
      </c>
      <c r="AG213" s="9"/>
      <c r="AH213" s="19"/>
      <c r="AI213" s="18"/>
      <c r="AJ213" s="87">
        <v>0.49</v>
      </c>
      <c r="AK213" s="19"/>
      <c r="AL213" s="92"/>
      <c r="AM213" s="87">
        <v>0.47</v>
      </c>
      <c r="AN213" s="13"/>
      <c r="AO213" s="15"/>
      <c r="AP213" s="15"/>
      <c r="AQ213" s="91"/>
    </row>
    <row r="214" spans="1:43" x14ac:dyDescent="0.15">
      <c r="A214" s="147">
        <v>37316</v>
      </c>
      <c r="B214" s="20">
        <v>0</v>
      </c>
      <c r="C214" s="9"/>
      <c r="D214" s="2"/>
      <c r="E214" s="33">
        <v>0.33</v>
      </c>
      <c r="F214" s="9"/>
      <c r="G214" s="34"/>
      <c r="H214" s="9">
        <v>0.74</v>
      </c>
      <c r="I214" s="9"/>
      <c r="J214" s="21"/>
      <c r="K214" s="28"/>
      <c r="L214" s="9">
        <v>0.32</v>
      </c>
      <c r="M214" s="19"/>
      <c r="N214" s="22">
        <v>0</v>
      </c>
      <c r="O214" s="14"/>
      <c r="P214" s="1"/>
      <c r="Q214" s="46">
        <v>0.48099999999999998</v>
      </c>
      <c r="R214" s="73"/>
      <c r="S214" s="32"/>
      <c r="T214" s="14">
        <v>0.90300000000000002</v>
      </c>
      <c r="U214" s="14"/>
      <c r="V214" s="19"/>
      <c r="W214" s="18"/>
      <c r="X214" s="87">
        <v>0.5</v>
      </c>
      <c r="Y214" s="19"/>
      <c r="Z214" s="20">
        <v>0.12</v>
      </c>
      <c r="AA214" s="9"/>
      <c r="AB214" s="15"/>
      <c r="AC214" s="20">
        <v>0.63</v>
      </c>
      <c r="AD214" s="9"/>
      <c r="AE214" s="32"/>
      <c r="AF214" s="20">
        <v>0.97</v>
      </c>
      <c r="AG214" s="9"/>
      <c r="AH214" s="19"/>
      <c r="AI214" s="18"/>
      <c r="AJ214" s="87">
        <v>0.48</v>
      </c>
      <c r="AK214" s="19"/>
      <c r="AL214" s="92"/>
      <c r="AM214" s="87">
        <v>0.47</v>
      </c>
      <c r="AN214" s="13"/>
      <c r="AO214" s="15"/>
      <c r="AP214" s="15"/>
      <c r="AQ214" s="91"/>
    </row>
    <row r="215" spans="1:43" x14ac:dyDescent="0.15">
      <c r="A215" s="147">
        <v>37288</v>
      </c>
      <c r="B215" s="20">
        <v>0</v>
      </c>
      <c r="C215" s="9"/>
      <c r="D215" s="2"/>
      <c r="E215" s="33">
        <v>0.28000000000000003</v>
      </c>
      <c r="F215" s="9"/>
      <c r="G215" s="34"/>
      <c r="H215" s="9">
        <v>0.74</v>
      </c>
      <c r="I215" s="9"/>
      <c r="J215" s="21"/>
      <c r="K215" s="28"/>
      <c r="L215" s="9">
        <v>0.3</v>
      </c>
      <c r="M215" s="19"/>
      <c r="N215" s="22">
        <v>0</v>
      </c>
      <c r="O215" s="14"/>
      <c r="P215" s="47"/>
      <c r="Q215" s="73">
        <v>0.46300000000000002</v>
      </c>
      <c r="R215" s="73"/>
      <c r="S215" s="32"/>
      <c r="T215" s="14">
        <v>0.90400000000000003</v>
      </c>
      <c r="U215" s="14"/>
      <c r="V215" s="19"/>
      <c r="W215" s="18"/>
      <c r="X215" s="87">
        <v>0.49</v>
      </c>
      <c r="Y215" s="19"/>
      <c r="Z215" s="20">
        <v>0.1</v>
      </c>
      <c r="AA215" s="9"/>
      <c r="AB215" s="15"/>
      <c r="AC215" s="20">
        <v>0.56000000000000005</v>
      </c>
      <c r="AD215" s="9"/>
      <c r="AE215" s="19"/>
      <c r="AF215" s="9">
        <v>0.88</v>
      </c>
      <c r="AG215" s="9"/>
      <c r="AH215" s="19"/>
      <c r="AI215" s="18"/>
      <c r="AJ215" s="87">
        <v>0.47</v>
      </c>
      <c r="AK215" s="19"/>
      <c r="AL215" s="92"/>
      <c r="AM215" s="87">
        <v>0.46</v>
      </c>
      <c r="AN215" s="13"/>
      <c r="AO215" s="15"/>
      <c r="AP215" s="15"/>
      <c r="AQ215" s="91"/>
    </row>
    <row r="216" spans="1:43" x14ac:dyDescent="0.15">
      <c r="A216" s="147">
        <v>37257</v>
      </c>
      <c r="B216" s="20">
        <v>0</v>
      </c>
      <c r="C216" s="9"/>
      <c r="D216" s="2"/>
      <c r="E216" s="33">
        <v>0.22</v>
      </c>
      <c r="F216" s="9"/>
      <c r="G216" s="34"/>
      <c r="H216" s="9">
        <v>0.73</v>
      </c>
      <c r="I216" s="9"/>
      <c r="J216" s="21"/>
      <c r="K216" s="28"/>
      <c r="L216" s="9">
        <v>0.28000000000000003</v>
      </c>
      <c r="M216" s="19"/>
      <c r="N216" s="22">
        <v>0</v>
      </c>
      <c r="O216" s="14"/>
      <c r="P216" s="47"/>
      <c r="Q216" s="73">
        <v>0.45</v>
      </c>
      <c r="R216" s="73"/>
      <c r="S216" s="32"/>
      <c r="T216" s="14">
        <v>0.90400000000000003</v>
      </c>
      <c r="U216" s="14"/>
      <c r="V216" s="19"/>
      <c r="W216" s="18"/>
      <c r="X216" s="87">
        <v>0.49</v>
      </c>
      <c r="Y216" s="19"/>
      <c r="Z216" s="20">
        <v>7.0000000000000007E-2</v>
      </c>
      <c r="AA216" s="9"/>
      <c r="AB216" s="15"/>
      <c r="AC216" s="20">
        <v>0.56000000000000005</v>
      </c>
      <c r="AD216" s="9"/>
      <c r="AE216" s="19"/>
      <c r="AF216" s="9">
        <v>0.89</v>
      </c>
      <c r="AG216" s="9"/>
      <c r="AH216" s="19"/>
      <c r="AI216" s="18"/>
      <c r="AJ216" s="87">
        <v>0.42</v>
      </c>
      <c r="AK216" s="19"/>
      <c r="AL216" s="92"/>
      <c r="AM216" s="87">
        <v>0.46</v>
      </c>
      <c r="AN216" s="13"/>
      <c r="AO216" s="15"/>
      <c r="AP216" s="15"/>
      <c r="AQ216" s="91"/>
    </row>
    <row r="217" spans="1:43" x14ac:dyDescent="0.15">
      <c r="A217" s="147">
        <v>37226</v>
      </c>
      <c r="B217" s="20">
        <v>0</v>
      </c>
      <c r="C217" s="9"/>
      <c r="D217" s="2"/>
      <c r="E217" s="33">
        <v>0.21</v>
      </c>
      <c r="F217" s="9"/>
      <c r="G217" s="34"/>
      <c r="H217" s="9">
        <v>0.7</v>
      </c>
      <c r="I217" s="9"/>
      <c r="J217" s="21"/>
      <c r="K217" s="28"/>
      <c r="L217" s="9">
        <v>0.26</v>
      </c>
      <c r="M217" s="19"/>
      <c r="N217" s="22">
        <v>0</v>
      </c>
      <c r="O217" s="14"/>
      <c r="P217" s="47"/>
      <c r="Q217" s="73">
        <v>0.42399999999999999</v>
      </c>
      <c r="R217" s="73"/>
      <c r="S217" s="32"/>
      <c r="T217" s="14">
        <v>0.88400000000000001</v>
      </c>
      <c r="U217" s="14"/>
      <c r="V217" s="19"/>
      <c r="W217" s="18"/>
      <c r="X217" s="87">
        <v>0.48</v>
      </c>
      <c r="Y217" s="19"/>
      <c r="Z217" s="20">
        <v>0.06</v>
      </c>
      <c r="AA217" s="9"/>
      <c r="AB217" s="15"/>
      <c r="AC217" s="20">
        <v>0.4</v>
      </c>
      <c r="AD217" s="9"/>
      <c r="AE217" s="19"/>
      <c r="AF217" s="9">
        <v>0.86</v>
      </c>
      <c r="AG217" s="9"/>
      <c r="AH217" s="19"/>
      <c r="AI217" s="18"/>
      <c r="AJ217" s="87">
        <v>0.41</v>
      </c>
      <c r="AK217" s="19"/>
      <c r="AL217" s="92"/>
      <c r="AM217" s="87">
        <v>0.44</v>
      </c>
      <c r="AN217" s="13"/>
      <c r="AO217" s="15"/>
      <c r="AP217" s="15"/>
      <c r="AQ217" s="91"/>
    </row>
    <row r="218" spans="1:43" x14ac:dyDescent="0.15">
      <c r="A218" s="147">
        <v>37196</v>
      </c>
      <c r="B218" s="20">
        <v>0</v>
      </c>
      <c r="C218" s="9"/>
      <c r="D218" s="2"/>
      <c r="E218" s="33">
        <v>0.2</v>
      </c>
      <c r="F218" s="9"/>
      <c r="G218" s="34"/>
      <c r="H218" s="9">
        <v>0.69</v>
      </c>
      <c r="I218" s="9"/>
      <c r="J218" s="21"/>
      <c r="K218" s="28"/>
      <c r="L218" s="9">
        <v>0.28000000000000003</v>
      </c>
      <c r="M218" s="19"/>
      <c r="N218" s="22">
        <v>0</v>
      </c>
      <c r="O218" s="14"/>
      <c r="P218" s="47"/>
      <c r="Q218" s="73">
        <v>0.4</v>
      </c>
      <c r="R218" s="73"/>
      <c r="S218" s="32"/>
      <c r="T218" s="14">
        <v>0.88300000000000001</v>
      </c>
      <c r="U218" s="14"/>
      <c r="V218" s="19"/>
      <c r="W218" s="18"/>
      <c r="X218" s="87">
        <v>0.46</v>
      </c>
      <c r="Y218" s="19"/>
      <c r="Z218" s="20">
        <v>0.04</v>
      </c>
      <c r="AA218" s="9"/>
      <c r="AB218" s="15"/>
      <c r="AC218" s="20">
        <v>0.37</v>
      </c>
      <c r="AD218" s="9"/>
      <c r="AE218" s="19"/>
      <c r="AF218" s="9">
        <v>0.88</v>
      </c>
      <c r="AG218" s="9"/>
      <c r="AH218" s="19"/>
      <c r="AI218" s="18"/>
      <c r="AJ218" s="87">
        <v>0.38</v>
      </c>
      <c r="AK218" s="19"/>
      <c r="AL218" s="92"/>
      <c r="AM218" s="87">
        <v>0.44</v>
      </c>
      <c r="AN218" s="13"/>
      <c r="AO218" s="15"/>
      <c r="AP218" s="15"/>
      <c r="AQ218" s="91"/>
    </row>
    <row r="219" spans="1:43" x14ac:dyDescent="0.15">
      <c r="A219" s="147">
        <v>37165</v>
      </c>
      <c r="B219" s="20">
        <v>0</v>
      </c>
      <c r="C219" s="9"/>
      <c r="D219" s="2"/>
      <c r="E219" s="33">
        <v>0.18</v>
      </c>
      <c r="F219" s="9"/>
      <c r="G219" s="34"/>
      <c r="H219" s="9">
        <v>0.68</v>
      </c>
      <c r="I219" s="9"/>
      <c r="J219" s="21"/>
      <c r="K219" s="28"/>
      <c r="L219" s="9">
        <v>0.3</v>
      </c>
      <c r="M219" s="19"/>
      <c r="N219" s="22">
        <v>0</v>
      </c>
      <c r="O219" s="14"/>
      <c r="P219" s="47"/>
      <c r="Q219" s="73">
        <v>0.35699999999999998</v>
      </c>
      <c r="R219" s="73"/>
      <c r="S219" s="32"/>
      <c r="T219" s="14">
        <v>0.877</v>
      </c>
      <c r="U219" s="14"/>
      <c r="V219" s="19"/>
      <c r="W219" s="18"/>
      <c r="X219" s="87">
        <v>0.45</v>
      </c>
      <c r="Y219" s="19"/>
      <c r="Z219" s="20">
        <v>0.05</v>
      </c>
      <c r="AA219" s="9"/>
      <c r="AB219" s="15"/>
      <c r="AC219" s="20">
        <v>0.28000000000000003</v>
      </c>
      <c r="AD219" s="9"/>
      <c r="AE219" s="19"/>
      <c r="AF219" s="9">
        <v>0.7</v>
      </c>
      <c r="AG219" s="9"/>
      <c r="AH219" s="19"/>
      <c r="AI219" s="18"/>
      <c r="AJ219" s="87">
        <v>0.35</v>
      </c>
      <c r="AK219" s="19"/>
      <c r="AL219" s="92"/>
      <c r="AM219" s="87">
        <v>0.43</v>
      </c>
      <c r="AN219" s="13"/>
      <c r="AO219" s="15"/>
      <c r="AP219" s="15"/>
      <c r="AQ219" s="91"/>
    </row>
    <row r="220" spans="1:43" x14ac:dyDescent="0.15">
      <c r="A220" s="147">
        <v>37135</v>
      </c>
      <c r="B220" s="20">
        <v>0</v>
      </c>
      <c r="C220" s="9"/>
      <c r="D220" s="2"/>
      <c r="E220" s="33">
        <v>0.18</v>
      </c>
      <c r="F220" s="9"/>
      <c r="G220" s="34"/>
      <c r="H220" s="9">
        <v>0.68</v>
      </c>
      <c r="I220" s="9"/>
      <c r="J220" s="21"/>
      <c r="K220" s="28"/>
      <c r="L220" s="9">
        <v>0.3</v>
      </c>
      <c r="M220" s="19"/>
      <c r="N220" s="22">
        <v>0</v>
      </c>
      <c r="O220" s="14"/>
      <c r="P220" s="47"/>
      <c r="Q220" s="73">
        <v>0.316</v>
      </c>
      <c r="R220" s="73"/>
      <c r="S220" s="32"/>
      <c r="T220" s="14">
        <v>0.85699999999999998</v>
      </c>
      <c r="U220" s="14"/>
      <c r="V220" s="19"/>
      <c r="W220" s="18"/>
      <c r="X220" s="87">
        <v>0.44</v>
      </c>
      <c r="Y220" s="19"/>
      <c r="Z220" s="20">
        <v>0.09</v>
      </c>
      <c r="AA220" s="9"/>
      <c r="AB220" s="15"/>
      <c r="AC220" s="20">
        <v>0.54</v>
      </c>
      <c r="AD220" s="9"/>
      <c r="AE220" s="19"/>
      <c r="AF220" s="9">
        <v>0.84</v>
      </c>
      <c r="AG220" s="9"/>
      <c r="AH220" s="19"/>
      <c r="AI220" s="18"/>
      <c r="AJ220" s="87">
        <v>0.28000000000000003</v>
      </c>
      <c r="AK220" s="19"/>
      <c r="AL220" s="92"/>
      <c r="AM220" s="87">
        <v>0.41</v>
      </c>
      <c r="AN220" s="13"/>
      <c r="AO220" s="15"/>
      <c r="AP220" s="15"/>
      <c r="AQ220" s="91"/>
    </row>
    <row r="221" spans="1:43" x14ac:dyDescent="0.15">
      <c r="A221" s="147">
        <v>37104</v>
      </c>
      <c r="B221" s="20">
        <v>0</v>
      </c>
      <c r="C221" s="9"/>
      <c r="D221" s="2"/>
      <c r="E221" s="33">
        <v>0.09</v>
      </c>
      <c r="F221" s="9"/>
      <c r="G221" s="34"/>
      <c r="H221" s="9">
        <v>0.41</v>
      </c>
      <c r="I221" s="9"/>
      <c r="J221" s="21"/>
      <c r="K221" s="28"/>
      <c r="L221" s="9">
        <v>0.3</v>
      </c>
      <c r="M221" s="19"/>
      <c r="N221" s="22">
        <v>0</v>
      </c>
      <c r="O221" s="14"/>
      <c r="P221" s="47"/>
      <c r="Q221" s="73">
        <v>0.29699999999999999</v>
      </c>
      <c r="R221" s="73"/>
      <c r="S221" s="32"/>
      <c r="T221" s="14">
        <v>0.84099999999999997</v>
      </c>
      <c r="U221" s="14"/>
      <c r="V221" s="19"/>
      <c r="W221" s="18"/>
      <c r="X221" s="87">
        <v>0.43</v>
      </c>
      <c r="Y221" s="19"/>
      <c r="Z221" s="20">
        <v>0.09</v>
      </c>
      <c r="AA221" s="9"/>
      <c r="AB221" s="15"/>
      <c r="AC221" s="20">
        <v>0.52</v>
      </c>
      <c r="AD221" s="9"/>
      <c r="AE221" s="19"/>
      <c r="AF221" s="9">
        <v>0.82</v>
      </c>
      <c r="AG221" s="9"/>
      <c r="AH221" s="19"/>
      <c r="AI221" s="18"/>
      <c r="AJ221" s="87">
        <v>0.4</v>
      </c>
      <c r="AK221" s="19"/>
      <c r="AL221" s="92"/>
      <c r="AM221" s="87">
        <v>0.41</v>
      </c>
      <c r="AN221" s="13"/>
      <c r="AO221" s="15"/>
      <c r="AP221" s="15"/>
      <c r="AQ221" s="91"/>
    </row>
    <row r="222" spans="1:43" x14ac:dyDescent="0.15">
      <c r="A222" s="147">
        <v>37073</v>
      </c>
      <c r="B222" s="20">
        <v>0</v>
      </c>
      <c r="C222" s="9"/>
      <c r="D222" s="2"/>
      <c r="E222" s="33">
        <v>0.08</v>
      </c>
      <c r="F222" s="9"/>
      <c r="G222" s="34"/>
      <c r="H222" s="9">
        <v>0.4</v>
      </c>
      <c r="I222" s="9"/>
      <c r="J222" s="21"/>
      <c r="K222" s="28"/>
      <c r="L222" s="9">
        <v>0.18</v>
      </c>
      <c r="M222" s="19"/>
      <c r="N222" s="22">
        <v>0</v>
      </c>
      <c r="O222" s="14"/>
      <c r="P222" s="47"/>
      <c r="Q222" s="73">
        <v>0.29199999999999998</v>
      </c>
      <c r="R222" s="73"/>
      <c r="S222" s="32"/>
      <c r="T222" s="14">
        <v>0.81100000000000005</v>
      </c>
      <c r="U222" s="14"/>
      <c r="V222" s="19"/>
      <c r="W222" s="18"/>
      <c r="X222" s="87">
        <v>0.41</v>
      </c>
      <c r="Y222" s="19"/>
      <c r="Z222" s="20">
        <v>0.09</v>
      </c>
      <c r="AA222" s="9"/>
      <c r="AB222" s="15"/>
      <c r="AC222" s="20">
        <v>0.57999999999999996</v>
      </c>
      <c r="AD222" s="9"/>
      <c r="AE222" s="19"/>
      <c r="AF222" s="9">
        <v>0.75</v>
      </c>
      <c r="AG222" s="9"/>
      <c r="AH222" s="19"/>
      <c r="AI222" s="18"/>
      <c r="AJ222" s="87">
        <v>0.39</v>
      </c>
      <c r="AK222" s="19"/>
      <c r="AL222" s="92"/>
      <c r="AM222" s="87">
        <v>0.37</v>
      </c>
      <c r="AN222" s="13"/>
      <c r="AO222" s="15"/>
      <c r="AP222" s="15"/>
      <c r="AQ222" s="91"/>
    </row>
    <row r="223" spans="1:43" x14ac:dyDescent="0.15">
      <c r="A223" s="147">
        <v>37043</v>
      </c>
      <c r="B223" s="20">
        <v>0</v>
      </c>
      <c r="C223" s="9"/>
      <c r="D223" s="2"/>
      <c r="E223" s="33">
        <v>0.09</v>
      </c>
      <c r="F223" s="9"/>
      <c r="G223" s="34"/>
      <c r="H223" s="9">
        <v>0.38</v>
      </c>
      <c r="I223" s="9"/>
      <c r="J223" s="21"/>
      <c r="K223" s="28"/>
      <c r="L223" s="9">
        <v>0.17</v>
      </c>
      <c r="M223" s="19"/>
      <c r="N223" s="22">
        <v>0</v>
      </c>
      <c r="O223" s="14"/>
      <c r="P223" s="47"/>
      <c r="Q223" s="73">
        <v>0.22600000000000001</v>
      </c>
      <c r="R223" s="73"/>
      <c r="S223" s="32"/>
      <c r="T223" s="14">
        <v>0.82799999999999996</v>
      </c>
      <c r="U223" s="14"/>
      <c r="V223" s="19"/>
      <c r="W223" s="18"/>
      <c r="X223" s="87">
        <v>0.41</v>
      </c>
      <c r="Y223" s="19"/>
      <c r="Z223" s="20">
        <v>0.1</v>
      </c>
      <c r="AA223" s="9"/>
      <c r="AB223" s="15"/>
      <c r="AC223" s="20">
        <v>0.63</v>
      </c>
      <c r="AD223" s="9"/>
      <c r="AE223" s="19"/>
      <c r="AF223" s="9">
        <v>0.56000000000000005</v>
      </c>
      <c r="AG223" s="9"/>
      <c r="AH223" s="19"/>
      <c r="AI223" s="18"/>
      <c r="AJ223" s="87">
        <v>0.38</v>
      </c>
      <c r="AK223" s="19"/>
      <c r="AL223" s="92"/>
      <c r="AM223" s="87">
        <v>0.37</v>
      </c>
      <c r="AN223" s="13"/>
      <c r="AO223" s="15"/>
      <c r="AP223" s="15"/>
      <c r="AQ223" s="91"/>
    </row>
    <row r="224" spans="1:43" x14ac:dyDescent="0.15">
      <c r="A224" s="147">
        <v>37012</v>
      </c>
      <c r="B224" s="20">
        <v>0</v>
      </c>
      <c r="C224" s="9"/>
      <c r="D224" s="2"/>
      <c r="E224" s="33">
        <v>7.0000000000000007E-2</v>
      </c>
      <c r="F224" s="9"/>
      <c r="G224" s="34"/>
      <c r="H224" s="9">
        <v>0.31</v>
      </c>
      <c r="I224" s="9"/>
      <c r="J224" s="21"/>
      <c r="K224" s="28"/>
      <c r="L224" s="9">
        <v>0.16</v>
      </c>
      <c r="M224" s="19"/>
      <c r="N224" s="22">
        <v>0</v>
      </c>
      <c r="O224" s="14"/>
      <c r="P224" s="47"/>
      <c r="Q224" s="73">
        <v>0.23799999999999999</v>
      </c>
      <c r="R224" s="73"/>
      <c r="S224" s="32"/>
      <c r="T224" s="14">
        <v>0.77300000000000002</v>
      </c>
      <c r="U224" s="14"/>
      <c r="V224" s="19"/>
      <c r="W224" s="18"/>
      <c r="X224" s="87">
        <v>0.39</v>
      </c>
      <c r="Y224" s="19"/>
      <c r="Z224" s="20">
        <v>0.09</v>
      </c>
      <c r="AA224" s="9"/>
      <c r="AB224" s="15"/>
      <c r="AC224" s="20">
        <v>0.63</v>
      </c>
      <c r="AD224" s="9"/>
      <c r="AE224" s="19"/>
      <c r="AF224" s="9">
        <v>0.53</v>
      </c>
      <c r="AG224" s="9"/>
      <c r="AH224" s="19"/>
      <c r="AI224" s="18"/>
      <c r="AJ224" s="87">
        <v>0.34</v>
      </c>
      <c r="AK224" s="19"/>
      <c r="AL224" s="92"/>
      <c r="AM224" s="87">
        <v>0.35</v>
      </c>
      <c r="AN224" s="13"/>
      <c r="AO224" s="15"/>
      <c r="AP224" s="15"/>
      <c r="AQ224" s="91"/>
    </row>
    <row r="225" spans="1:43" x14ac:dyDescent="0.15">
      <c r="A225" s="147">
        <v>36982</v>
      </c>
      <c r="B225" s="20">
        <v>0</v>
      </c>
      <c r="C225" s="9"/>
      <c r="D225" s="2"/>
      <c r="E225" s="33">
        <v>0.04</v>
      </c>
      <c r="F225" s="9"/>
      <c r="G225" s="34"/>
      <c r="H225" s="9">
        <v>0.22</v>
      </c>
      <c r="I225" s="9"/>
      <c r="J225" s="21"/>
      <c r="K225" s="28"/>
      <c r="L225" s="9">
        <v>0.13</v>
      </c>
      <c r="M225" s="19"/>
      <c r="N225" s="22">
        <v>0</v>
      </c>
      <c r="O225" s="14"/>
      <c r="P225" s="47"/>
      <c r="Q225" s="73">
        <v>0.20799999999999999</v>
      </c>
      <c r="R225" s="73"/>
      <c r="S225" s="32"/>
      <c r="T225" s="14">
        <v>0.752</v>
      </c>
      <c r="U225" s="14"/>
      <c r="V225" s="19"/>
      <c r="W225" s="18"/>
      <c r="X225" s="87">
        <v>0.37</v>
      </c>
      <c r="Y225" s="19"/>
      <c r="Z225" s="20">
        <v>0.1</v>
      </c>
      <c r="AA225" s="9"/>
      <c r="AB225" s="15"/>
      <c r="AC225" s="20">
        <v>0.63</v>
      </c>
      <c r="AD225" s="9"/>
      <c r="AE225" s="19"/>
      <c r="AF225" s="9">
        <v>0.75</v>
      </c>
      <c r="AG225" s="9"/>
      <c r="AH225" s="19"/>
      <c r="AI225" s="18"/>
      <c r="AJ225" s="87">
        <v>0.32</v>
      </c>
      <c r="AK225" s="19"/>
      <c r="AL225" s="92"/>
      <c r="AM225" s="87">
        <v>0.33</v>
      </c>
      <c r="AN225" s="13"/>
      <c r="AO225" s="15"/>
      <c r="AP225" s="15"/>
      <c r="AQ225" s="91"/>
    </row>
    <row r="226" spans="1:43" x14ac:dyDescent="0.15">
      <c r="A226" s="147">
        <v>36951</v>
      </c>
      <c r="B226" s="20">
        <v>0</v>
      </c>
      <c r="C226" s="9"/>
      <c r="D226" s="2"/>
      <c r="E226" s="33">
        <v>0.04</v>
      </c>
      <c r="F226" s="9"/>
      <c r="G226" s="34"/>
      <c r="H226" s="9">
        <v>0.25</v>
      </c>
      <c r="I226" s="9"/>
      <c r="J226" s="21"/>
      <c r="K226" s="28"/>
      <c r="L226" s="9">
        <v>0.09</v>
      </c>
      <c r="M226" s="19"/>
      <c r="N226" s="22">
        <v>0</v>
      </c>
      <c r="O226" s="14"/>
      <c r="P226" s="47"/>
      <c r="Q226" s="73">
        <v>0.14299999999999999</v>
      </c>
      <c r="R226" s="73"/>
      <c r="S226" s="32"/>
      <c r="T226" s="14">
        <v>0.629</v>
      </c>
      <c r="U226" s="14"/>
      <c r="V226" s="19"/>
      <c r="W226" s="18"/>
      <c r="X226" s="87">
        <v>0.3</v>
      </c>
      <c r="Y226" s="19"/>
      <c r="Z226" s="20">
        <v>0.09</v>
      </c>
      <c r="AA226" s="9"/>
      <c r="AB226" s="15"/>
      <c r="AC226" s="20">
        <v>0.64</v>
      </c>
      <c r="AD226" s="9"/>
      <c r="AE226" s="19"/>
      <c r="AF226" s="9">
        <v>0.68</v>
      </c>
      <c r="AG226" s="9"/>
      <c r="AH226" s="19"/>
      <c r="AI226" s="18"/>
      <c r="AJ226" s="87">
        <v>0.39</v>
      </c>
      <c r="AK226" s="19"/>
      <c r="AL226" s="92"/>
      <c r="AM226" s="87">
        <v>0.27</v>
      </c>
      <c r="AN226" s="13"/>
      <c r="AO226" s="15"/>
      <c r="AP226" s="15"/>
      <c r="AQ226" s="91"/>
    </row>
    <row r="227" spans="1:43" x14ac:dyDescent="0.15">
      <c r="A227" s="147">
        <v>36923</v>
      </c>
      <c r="B227" s="20">
        <v>0</v>
      </c>
      <c r="C227" s="9"/>
      <c r="D227" s="2"/>
      <c r="E227" s="33">
        <v>0.03</v>
      </c>
      <c r="F227" s="9"/>
      <c r="G227" s="34"/>
      <c r="H227" s="9">
        <v>0.28999999999999998</v>
      </c>
      <c r="I227" s="9"/>
      <c r="J227" s="21"/>
      <c r="K227" s="28"/>
      <c r="L227" s="9">
        <v>0.11</v>
      </c>
      <c r="M227" s="19"/>
      <c r="N227" s="22">
        <v>0</v>
      </c>
      <c r="O227" s="14"/>
      <c r="P227" s="47"/>
      <c r="Q227" s="73">
        <v>0.14699999999999999</v>
      </c>
      <c r="R227" s="73"/>
      <c r="S227" s="32"/>
      <c r="T227" s="14">
        <v>0.61699999999999999</v>
      </c>
      <c r="U227" s="14"/>
      <c r="V227" s="19"/>
      <c r="W227" s="18"/>
      <c r="X227" s="87">
        <v>0.3</v>
      </c>
      <c r="Y227" s="19"/>
      <c r="Z227" s="20">
        <v>0.09</v>
      </c>
      <c r="AA227" s="9"/>
      <c r="AB227" s="15"/>
      <c r="AC227" s="20">
        <v>0.65</v>
      </c>
      <c r="AD227" s="9"/>
      <c r="AE227" s="19"/>
      <c r="AF227" s="9">
        <v>0.74</v>
      </c>
      <c r="AG227" s="9"/>
      <c r="AH227" s="19"/>
      <c r="AI227" s="18"/>
      <c r="AJ227" s="87">
        <v>0.37</v>
      </c>
      <c r="AK227" s="19"/>
      <c r="AL227" s="92"/>
      <c r="AM227" s="87">
        <v>0.27</v>
      </c>
      <c r="AN227" s="13"/>
      <c r="AO227" s="15"/>
      <c r="AP227" s="15"/>
      <c r="AQ227" s="91"/>
    </row>
    <row r="228" spans="1:43" x14ac:dyDescent="0.15">
      <c r="A228" s="147">
        <v>36892</v>
      </c>
      <c r="B228" s="20">
        <v>0</v>
      </c>
      <c r="C228" s="9"/>
      <c r="D228" s="2"/>
      <c r="E228" s="33">
        <v>0.03</v>
      </c>
      <c r="F228" s="9"/>
      <c r="G228" s="34"/>
      <c r="H228" s="9">
        <v>0.28999999999999998</v>
      </c>
      <c r="I228" s="9"/>
      <c r="J228" s="21"/>
      <c r="K228" s="28"/>
      <c r="L228" s="9">
        <v>0.12</v>
      </c>
      <c r="M228" s="19"/>
      <c r="N228" s="22">
        <v>0</v>
      </c>
      <c r="O228" s="14"/>
      <c r="P228" s="47"/>
      <c r="Q228" s="73">
        <v>0.14499999999999999</v>
      </c>
      <c r="R228" s="73"/>
      <c r="S228" s="32"/>
      <c r="T228" s="14">
        <v>0.65400000000000003</v>
      </c>
      <c r="U228" s="14"/>
      <c r="V228" s="19"/>
      <c r="W228" s="18"/>
      <c r="X228" s="87">
        <v>0.32</v>
      </c>
      <c r="Y228" s="19"/>
      <c r="Z228" s="20">
        <v>0.08</v>
      </c>
      <c r="AA228" s="9"/>
      <c r="AB228" s="15"/>
      <c r="AC228" s="20">
        <v>0.64</v>
      </c>
      <c r="AD228" s="9"/>
      <c r="AE228" s="19"/>
      <c r="AF228" s="9">
        <v>0.73</v>
      </c>
      <c r="AG228" s="9"/>
      <c r="AH228" s="19"/>
      <c r="AI228" s="18"/>
      <c r="AJ228" s="87">
        <v>0.39</v>
      </c>
      <c r="AK228" s="19"/>
      <c r="AL228" s="92"/>
      <c r="AM228" s="87">
        <v>0.28999999999999998</v>
      </c>
      <c r="AN228" s="13"/>
      <c r="AO228" s="15"/>
      <c r="AP228" s="15"/>
      <c r="AQ228" s="91"/>
    </row>
    <row r="229" spans="1:43" x14ac:dyDescent="0.15">
      <c r="A229" s="147">
        <v>36861</v>
      </c>
      <c r="B229" s="20">
        <v>0</v>
      </c>
      <c r="C229" s="9"/>
      <c r="D229" s="2"/>
      <c r="E229" s="33">
        <v>0.03</v>
      </c>
      <c r="F229" s="9"/>
      <c r="G229" s="34"/>
      <c r="H229" s="9">
        <v>0.28999999999999998</v>
      </c>
      <c r="I229" s="9"/>
      <c r="J229" s="21"/>
      <c r="K229" s="28"/>
      <c r="L229" s="9">
        <v>0.12</v>
      </c>
      <c r="M229" s="19"/>
      <c r="N229" s="22">
        <v>0</v>
      </c>
      <c r="O229" s="14"/>
      <c r="P229" s="47"/>
      <c r="Q229" s="73">
        <v>0.14000000000000001</v>
      </c>
      <c r="R229" s="73"/>
      <c r="S229" s="32"/>
      <c r="T229" s="14">
        <v>0.68500000000000005</v>
      </c>
      <c r="U229" s="14"/>
      <c r="V229" s="19"/>
      <c r="W229" s="18"/>
      <c r="X229" s="87">
        <v>0.33</v>
      </c>
      <c r="Y229" s="19"/>
      <c r="Z229" s="20">
        <v>0.1</v>
      </c>
      <c r="AA229" s="9"/>
      <c r="AB229" s="15"/>
      <c r="AC229" s="20">
        <v>0.64</v>
      </c>
      <c r="AD229" s="9"/>
      <c r="AE229" s="19"/>
      <c r="AF229" s="9">
        <v>0.68</v>
      </c>
      <c r="AG229" s="9"/>
      <c r="AH229" s="19"/>
      <c r="AI229" s="18"/>
      <c r="AJ229" s="87">
        <v>0.38</v>
      </c>
      <c r="AK229" s="19"/>
      <c r="AL229" s="92"/>
      <c r="AM229" s="87">
        <v>0.3</v>
      </c>
      <c r="AN229" s="13"/>
      <c r="AO229" s="15"/>
      <c r="AP229" s="15"/>
      <c r="AQ229" s="91"/>
    </row>
    <row r="230" spans="1:43" x14ac:dyDescent="0.15">
      <c r="A230" s="147">
        <v>36831</v>
      </c>
      <c r="B230" s="20">
        <v>0</v>
      </c>
      <c r="C230" s="9"/>
      <c r="D230" s="2"/>
      <c r="E230" s="33">
        <v>0.03</v>
      </c>
      <c r="F230" s="9"/>
      <c r="G230" s="34"/>
      <c r="H230" s="9">
        <v>0.28000000000000003</v>
      </c>
      <c r="I230" s="9"/>
      <c r="J230" s="21"/>
      <c r="K230" s="28"/>
      <c r="L230" s="9">
        <v>0.12</v>
      </c>
      <c r="M230" s="19"/>
      <c r="N230" s="22">
        <v>0</v>
      </c>
      <c r="O230" s="14"/>
      <c r="P230" s="47"/>
      <c r="Q230" s="73">
        <v>6.7000000000000004E-2</v>
      </c>
      <c r="R230" s="73"/>
      <c r="S230" s="32"/>
      <c r="T230" s="14">
        <v>0.63400000000000001</v>
      </c>
      <c r="U230" s="14"/>
      <c r="V230" s="19"/>
      <c r="W230" s="18"/>
      <c r="X230" s="87">
        <v>0.3</v>
      </c>
      <c r="Y230" s="19"/>
      <c r="Z230" s="20">
        <v>0.09</v>
      </c>
      <c r="AA230" s="9"/>
      <c r="AB230" s="15"/>
      <c r="AC230" s="20">
        <v>0.76</v>
      </c>
      <c r="AD230" s="9"/>
      <c r="AE230" s="19"/>
      <c r="AF230" s="9">
        <v>0.52</v>
      </c>
      <c r="AG230" s="9"/>
      <c r="AH230" s="19"/>
      <c r="AI230" s="18"/>
      <c r="AJ230" s="87">
        <v>0.38</v>
      </c>
      <c r="AK230" s="19"/>
      <c r="AL230" s="92"/>
      <c r="AM230" s="87">
        <v>0.27</v>
      </c>
      <c r="AN230" s="13"/>
      <c r="AO230" s="15"/>
      <c r="AP230" s="15"/>
      <c r="AQ230" s="91"/>
    </row>
    <row r="231" spans="1:43" x14ac:dyDescent="0.15">
      <c r="A231" s="147">
        <v>36800</v>
      </c>
      <c r="B231" s="20">
        <v>0</v>
      </c>
      <c r="C231" s="9"/>
      <c r="D231" s="2"/>
      <c r="E231" s="33">
        <v>0.02</v>
      </c>
      <c r="F231" s="9"/>
      <c r="G231" s="34"/>
      <c r="H231" s="9">
        <v>0.43</v>
      </c>
      <c r="I231" s="9"/>
      <c r="J231" s="21"/>
      <c r="K231" s="28"/>
      <c r="L231" s="9">
        <v>0.11</v>
      </c>
      <c r="M231" s="19"/>
      <c r="N231" s="22">
        <v>0</v>
      </c>
      <c r="O231" s="14"/>
      <c r="P231" s="47"/>
      <c r="Q231" s="46">
        <v>8.5000000000000006E-2</v>
      </c>
      <c r="R231" s="73"/>
      <c r="S231" s="32"/>
      <c r="T231" s="35">
        <v>0.64500000000000002</v>
      </c>
      <c r="U231" s="14"/>
      <c r="V231" s="19"/>
      <c r="W231" s="18"/>
      <c r="X231" s="87">
        <v>0.3</v>
      </c>
      <c r="Y231" s="19"/>
      <c r="Z231" s="20">
        <v>7.0000000000000007E-2</v>
      </c>
      <c r="AA231" s="9"/>
      <c r="AB231" s="15"/>
      <c r="AC231" s="20">
        <v>0.67</v>
      </c>
      <c r="AD231" s="9"/>
      <c r="AE231" s="19"/>
      <c r="AF231" s="9">
        <v>0.52</v>
      </c>
      <c r="AG231" s="9"/>
      <c r="AH231" s="19"/>
      <c r="AI231" s="18"/>
      <c r="AJ231" s="87">
        <v>0.36</v>
      </c>
      <c r="AK231" s="19"/>
      <c r="AL231" s="92"/>
      <c r="AM231" s="87">
        <v>0.27</v>
      </c>
      <c r="AN231" s="13"/>
      <c r="AO231" s="15"/>
      <c r="AP231" s="15"/>
      <c r="AQ231" s="91"/>
    </row>
    <row r="232" spans="1:43" x14ac:dyDescent="0.15">
      <c r="A232" s="147">
        <v>36770</v>
      </c>
      <c r="B232" s="20">
        <v>0</v>
      </c>
      <c r="C232" s="9"/>
      <c r="D232" s="2"/>
      <c r="E232" s="33">
        <v>0.02</v>
      </c>
      <c r="F232" s="9"/>
      <c r="G232" s="34"/>
      <c r="H232" s="9">
        <v>0.47</v>
      </c>
      <c r="I232" s="9"/>
      <c r="J232" s="21"/>
      <c r="K232" s="28"/>
      <c r="L232" s="9">
        <v>0.17</v>
      </c>
      <c r="M232" s="19"/>
      <c r="N232" s="22">
        <v>0</v>
      </c>
      <c r="O232" s="14"/>
      <c r="P232" s="47"/>
      <c r="Q232" s="46">
        <v>5.7000000000000002E-2</v>
      </c>
      <c r="R232" s="73"/>
      <c r="S232" s="32"/>
      <c r="T232" s="35">
        <v>0.60399999999999998</v>
      </c>
      <c r="U232" s="14"/>
      <c r="V232" s="19"/>
      <c r="W232" s="18"/>
      <c r="X232" s="87">
        <v>2.8000000000000004E-3</v>
      </c>
      <c r="Y232" s="19"/>
      <c r="Z232" s="20"/>
      <c r="AA232" s="9"/>
      <c r="AB232" s="15"/>
      <c r="AC232" s="20"/>
      <c r="AD232" s="9"/>
      <c r="AE232" s="19"/>
      <c r="AF232" s="9"/>
      <c r="AG232" s="9"/>
      <c r="AH232" s="19"/>
      <c r="AI232" s="18"/>
      <c r="AJ232" s="87">
        <v>3.2000000000000002E-3</v>
      </c>
      <c r="AK232" s="19"/>
      <c r="AL232" s="92"/>
      <c r="AM232" s="87">
        <v>2.5999999999999999E-3</v>
      </c>
      <c r="AN232" s="13"/>
      <c r="AO232" s="15"/>
      <c r="AP232" s="15"/>
      <c r="AQ232" s="91"/>
    </row>
    <row r="233" spans="1:43" x14ac:dyDescent="0.15">
      <c r="A233" s="147">
        <v>36739</v>
      </c>
      <c r="B233" s="20">
        <v>0</v>
      </c>
      <c r="C233" s="9"/>
      <c r="D233" s="2"/>
      <c r="E233" s="33">
        <v>0.02</v>
      </c>
      <c r="F233" s="9"/>
      <c r="G233" s="34"/>
      <c r="H233" s="9">
        <v>0.47</v>
      </c>
      <c r="I233" s="9"/>
      <c r="J233" s="21"/>
      <c r="K233" s="28"/>
      <c r="L233" s="9">
        <v>0.19</v>
      </c>
      <c r="M233" s="19"/>
      <c r="N233" s="22">
        <v>0</v>
      </c>
      <c r="O233" s="14"/>
      <c r="P233" s="47"/>
      <c r="Q233" s="46">
        <v>6.8000000000000005E-2</v>
      </c>
      <c r="R233" s="73"/>
      <c r="S233" s="32"/>
      <c r="T233" s="35">
        <v>0.59599999999999997</v>
      </c>
      <c r="U233" s="14"/>
      <c r="V233" s="19"/>
      <c r="W233" s="18"/>
      <c r="X233" s="87">
        <v>2.7000000000000001E-3</v>
      </c>
      <c r="Y233" s="19"/>
      <c r="Z233" s="20">
        <v>0.04</v>
      </c>
      <c r="AA233" s="9"/>
      <c r="AB233" s="15"/>
      <c r="AC233" s="20">
        <v>0.43</v>
      </c>
      <c r="AD233" s="9"/>
      <c r="AE233" s="19"/>
      <c r="AF233" s="9">
        <v>0.65</v>
      </c>
      <c r="AG233" s="9"/>
      <c r="AH233" s="19"/>
      <c r="AI233" s="18"/>
      <c r="AJ233" s="87">
        <v>3.0000000000000001E-3</v>
      </c>
      <c r="AK233" s="19"/>
      <c r="AL233" s="92"/>
      <c r="AM233" s="87">
        <v>2.7000000000000001E-3</v>
      </c>
      <c r="AN233" s="13"/>
      <c r="AO233" s="15"/>
      <c r="AP233" s="15"/>
      <c r="AQ233" s="91"/>
    </row>
    <row r="234" spans="1:43" x14ac:dyDescent="0.15">
      <c r="A234" s="147">
        <v>36708</v>
      </c>
      <c r="B234" s="18"/>
      <c r="C234" s="15"/>
      <c r="D234" s="15"/>
      <c r="E234" s="31"/>
      <c r="G234" s="32"/>
      <c r="H234" s="15"/>
      <c r="I234" s="9"/>
      <c r="J234" s="21"/>
      <c r="K234" s="28"/>
      <c r="L234" s="9">
        <v>0</v>
      </c>
      <c r="M234" s="19"/>
      <c r="N234" s="22">
        <v>0</v>
      </c>
      <c r="O234" s="14"/>
      <c r="P234" s="47"/>
      <c r="Q234" s="46">
        <v>5.8000000000000003E-2</v>
      </c>
      <c r="R234" s="73"/>
      <c r="S234" s="32"/>
      <c r="T234" s="35">
        <v>0.58699999999999997</v>
      </c>
      <c r="U234" s="14"/>
      <c r="V234" s="19"/>
      <c r="W234" s="18"/>
      <c r="X234" s="87">
        <v>0</v>
      </c>
      <c r="Y234" s="19"/>
      <c r="Z234" s="28"/>
      <c r="AA234" s="2"/>
      <c r="AB234" s="2"/>
      <c r="AC234" s="28"/>
      <c r="AD234" s="2"/>
      <c r="AE234" s="21"/>
      <c r="AF234" s="2"/>
      <c r="AG234" s="2"/>
      <c r="AH234" s="19"/>
      <c r="AI234" s="18"/>
      <c r="AJ234" s="87">
        <v>0</v>
      </c>
      <c r="AK234" s="19"/>
      <c r="AL234" s="92"/>
      <c r="AM234" s="87">
        <v>0</v>
      </c>
      <c r="AN234" s="13"/>
      <c r="AO234" s="15"/>
      <c r="AP234" s="15"/>
      <c r="AQ234" s="91"/>
    </row>
    <row r="235" spans="1:43" ht="14" thickBot="1" x14ac:dyDescent="0.2">
      <c r="A235" s="148">
        <v>36678</v>
      </c>
      <c r="B235" s="120"/>
      <c r="C235" s="121"/>
      <c r="D235" s="122"/>
      <c r="E235" s="123"/>
      <c r="F235" s="121"/>
      <c r="G235" s="124"/>
      <c r="H235" s="122"/>
      <c r="I235" s="122"/>
      <c r="J235" s="125"/>
      <c r="K235" s="126"/>
      <c r="L235" s="121">
        <v>0</v>
      </c>
      <c r="M235" s="127"/>
      <c r="N235" s="128">
        <v>0</v>
      </c>
      <c r="O235" s="129"/>
      <c r="P235" s="130"/>
      <c r="Q235" s="131">
        <v>5.8000000000000003E-2</v>
      </c>
      <c r="R235" s="132"/>
      <c r="S235" s="130"/>
      <c r="T235" s="133">
        <v>0.60599999999999998</v>
      </c>
      <c r="U235" s="129"/>
      <c r="V235" s="134"/>
      <c r="W235" s="135"/>
      <c r="X235" s="121">
        <v>0</v>
      </c>
      <c r="Y235" s="127"/>
      <c r="Z235" s="135"/>
      <c r="AA235" s="136"/>
      <c r="AB235" s="134"/>
      <c r="AC235" s="135"/>
      <c r="AD235" s="136"/>
      <c r="AE235" s="134"/>
      <c r="AF235" s="136"/>
      <c r="AG235" s="136"/>
      <c r="AH235" s="127"/>
      <c r="AI235" s="138"/>
      <c r="AJ235" s="139">
        <v>0</v>
      </c>
      <c r="AK235" s="127"/>
      <c r="AL235" s="140"/>
      <c r="AM235" s="141">
        <v>0</v>
      </c>
      <c r="AN235" s="142"/>
      <c r="AO235" s="143"/>
      <c r="AP235" s="143"/>
      <c r="AQ235" s="144"/>
    </row>
    <row r="236" spans="1:43" ht="16" x14ac:dyDescent="0.2">
      <c r="C236" s="98"/>
      <c r="D236" s="99"/>
      <c r="E236" s="99"/>
      <c r="F236" s="99"/>
      <c r="O236" s="11"/>
      <c r="R236" s="4"/>
      <c r="U236" s="4"/>
      <c r="AA236" s="118"/>
      <c r="AB236" s="118"/>
      <c r="AD236" s="118"/>
      <c r="AE236" s="118"/>
      <c r="AG236" s="118"/>
      <c r="AH236" s="118"/>
    </row>
  </sheetData>
  <mergeCells count="17">
    <mergeCell ref="AI4:AK4"/>
    <mergeCell ref="Z3:AK3"/>
    <mergeCell ref="AL3:AQ3"/>
    <mergeCell ref="B3:M3"/>
    <mergeCell ref="K4:M4"/>
    <mergeCell ref="W4:Y4"/>
    <mergeCell ref="N3:Y3"/>
    <mergeCell ref="Q4:S4"/>
    <mergeCell ref="T4:V4"/>
    <mergeCell ref="H4:J4"/>
    <mergeCell ref="A3:A5"/>
    <mergeCell ref="Z4:AB4"/>
    <mergeCell ref="AC4:AE4"/>
    <mergeCell ref="AF4:AH4"/>
    <mergeCell ref="B4:D4"/>
    <mergeCell ref="E4:G4"/>
    <mergeCell ref="N4:P4"/>
  </mergeCells>
  <phoneticPr fontId="3" type="noConversion"/>
  <pageMargins left="0.75" right="0.75" top="1" bottom="1" header="0.5" footer="0.5"/>
  <pageSetup orientation="portrait"/>
  <headerFooter alignWithMargins="0"/>
  <ignoredErrors>
    <ignoredError sqref="AM132 AM133:AM151" formula="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240"/>
  <sheetViews>
    <sheetView view="pageBreakPreview" zoomScale="70" zoomScaleNormal="100" zoomScaleSheetLayoutView="70" workbookViewId="0">
      <pane xSplit="1" ySplit="4" topLeftCell="B5" activePane="bottomRight" state="frozen"/>
      <selection pane="topRight" activeCell="B1" sqref="B1"/>
      <selection pane="bottomLeft" activeCell="A5" sqref="A5"/>
      <selection pane="bottomRight" activeCell="AQ8" sqref="AQ8"/>
    </sheetView>
  </sheetViews>
  <sheetFormatPr baseColWidth="10" defaultRowHeight="13" x14ac:dyDescent="0.15"/>
  <cols>
    <col min="1" max="1" width="10.1640625" customWidth="1"/>
    <col min="2" max="2" width="16.1640625" bestFit="1" customWidth="1"/>
    <col min="3" max="3" width="10" bestFit="1" customWidth="1"/>
    <col min="4" max="4" width="18.5" bestFit="1" customWidth="1"/>
    <col min="5" max="5" width="10" bestFit="1" customWidth="1"/>
    <col min="6" max="6" width="8.33203125" customWidth="1"/>
    <col min="7" max="7" width="18.5" bestFit="1" customWidth="1"/>
    <col min="8" max="8" width="8.1640625" bestFit="1" customWidth="1"/>
    <col min="9" max="9" width="9" customWidth="1"/>
    <col min="10" max="10" width="15.5" customWidth="1"/>
    <col min="11" max="11" width="8.5" customWidth="1"/>
    <col min="12" max="12" width="7.1640625" bestFit="1" customWidth="1"/>
    <col min="13" max="13" width="18.5" customWidth="1"/>
    <col min="14" max="14" width="10.1640625" customWidth="1"/>
    <col min="15" max="15" width="7.1640625" bestFit="1" customWidth="1"/>
    <col min="16" max="16" width="18.5" bestFit="1" customWidth="1"/>
    <col min="17" max="17" width="7.1640625" customWidth="1"/>
    <col min="18" max="18" width="12.5" bestFit="1" customWidth="1"/>
    <col min="19" max="19" width="18.5" bestFit="1" customWidth="1"/>
    <col min="20" max="20" width="6.5" bestFit="1" customWidth="1"/>
    <col min="21" max="21" width="12.5" customWidth="1"/>
    <col min="22" max="22" width="18.5" bestFit="1" customWidth="1"/>
    <col min="23" max="23" width="9.1640625" customWidth="1"/>
    <col min="24" max="24" width="7.1640625" bestFit="1" customWidth="1"/>
    <col min="25" max="25" width="18.5" customWidth="1"/>
    <col min="26" max="26" width="6.5" bestFit="1" customWidth="1"/>
    <col min="27" max="27" width="7.1640625" bestFit="1" customWidth="1"/>
    <col min="28" max="28" width="18.5" bestFit="1" customWidth="1"/>
    <col min="29" max="29" width="6.5" bestFit="1" customWidth="1"/>
    <col min="30" max="30" width="12.5" bestFit="1" customWidth="1"/>
    <col min="31" max="31" width="18.5" bestFit="1" customWidth="1"/>
    <col min="32" max="32" width="6.5" bestFit="1" customWidth="1"/>
    <col min="33" max="33" width="7.1640625" bestFit="1" customWidth="1"/>
    <col min="34" max="34" width="18.5" bestFit="1" customWidth="1"/>
    <col min="35" max="35" width="6.5" bestFit="1" customWidth="1"/>
    <col min="36" max="36" width="7.1640625" bestFit="1" customWidth="1"/>
    <col min="37" max="37" width="18.5" customWidth="1"/>
    <col min="38" max="38" width="12" bestFit="1" customWidth="1"/>
    <col min="39" max="41" width="12" customWidth="1"/>
    <col min="42" max="42" width="11.83203125" customWidth="1"/>
    <col min="43" max="43" width="14.5" bestFit="1" customWidth="1"/>
    <col min="44" max="44" width="10.5" customWidth="1"/>
    <col min="45" max="45" width="16.1640625" bestFit="1" customWidth="1"/>
    <col min="46" max="46" width="11.33203125" customWidth="1"/>
    <col min="47" max="256" width="8.83203125" customWidth="1"/>
  </cols>
  <sheetData>
    <row r="1" spans="1:46" ht="17" thickBot="1" x14ac:dyDescent="0.25">
      <c r="A1" s="149" t="s">
        <v>23</v>
      </c>
      <c r="N1" s="183"/>
      <c r="O1" s="183"/>
      <c r="P1" s="183"/>
      <c r="Q1" s="183"/>
      <c r="R1" s="183"/>
      <c r="S1" s="183"/>
      <c r="T1" s="184"/>
    </row>
    <row r="2" spans="1:46" ht="19" thickBot="1" x14ac:dyDescent="0.25">
      <c r="A2" s="217" t="s">
        <v>0</v>
      </c>
      <c r="B2" s="208" t="s">
        <v>48</v>
      </c>
      <c r="C2" s="228"/>
      <c r="D2" s="228"/>
      <c r="E2" s="228"/>
      <c r="F2" s="228"/>
      <c r="G2" s="228"/>
      <c r="H2" s="228"/>
      <c r="I2" s="228"/>
      <c r="J2" s="228"/>
      <c r="K2" s="228"/>
      <c r="L2" s="228"/>
      <c r="M2" s="229"/>
      <c r="N2" s="208" t="s">
        <v>14</v>
      </c>
      <c r="O2" s="228"/>
      <c r="P2" s="228"/>
      <c r="Q2" s="228"/>
      <c r="R2" s="228"/>
      <c r="S2" s="228"/>
      <c r="T2" s="228"/>
      <c r="U2" s="228"/>
      <c r="V2" s="228"/>
      <c r="W2" s="228"/>
      <c r="X2" s="228"/>
      <c r="Y2" s="229"/>
      <c r="Z2" s="208" t="s">
        <v>49</v>
      </c>
      <c r="AA2" s="228"/>
      <c r="AB2" s="228"/>
      <c r="AC2" s="228"/>
      <c r="AD2" s="228"/>
      <c r="AE2" s="228"/>
      <c r="AF2" s="228"/>
      <c r="AG2" s="228"/>
      <c r="AH2" s="228"/>
      <c r="AI2" s="228"/>
      <c r="AJ2" s="228"/>
      <c r="AK2" s="229"/>
      <c r="AL2" s="215" t="s">
        <v>2</v>
      </c>
      <c r="AM2" s="216"/>
      <c r="AN2" s="216"/>
      <c r="AO2" s="216"/>
      <c r="AP2" s="230"/>
      <c r="AQ2" s="230"/>
      <c r="AR2" s="230"/>
      <c r="AS2" s="230"/>
      <c r="AT2" s="231"/>
    </row>
    <row r="3" spans="1:46" x14ac:dyDescent="0.15">
      <c r="A3" s="218"/>
      <c r="B3" s="223" t="s">
        <v>1</v>
      </c>
      <c r="C3" s="224"/>
      <c r="D3" s="224"/>
      <c r="E3" s="220" t="s">
        <v>3</v>
      </c>
      <c r="F3" s="221"/>
      <c r="G3" s="222"/>
      <c r="H3" s="227" t="s">
        <v>4</v>
      </c>
      <c r="I3" s="221"/>
      <c r="J3" s="221"/>
      <c r="K3" s="223" t="s">
        <v>52</v>
      </c>
      <c r="L3" s="221"/>
      <c r="M3" s="226"/>
      <c r="N3" s="223" t="s">
        <v>1</v>
      </c>
      <c r="O3" s="224"/>
      <c r="P3" s="225"/>
      <c r="Q3" s="220" t="s">
        <v>3</v>
      </c>
      <c r="R3" s="221"/>
      <c r="S3" s="222"/>
      <c r="T3" s="220" t="s">
        <v>4</v>
      </c>
      <c r="U3" s="221"/>
      <c r="V3" s="226"/>
      <c r="W3" s="202" t="s">
        <v>22</v>
      </c>
      <c r="X3" s="203"/>
      <c r="Y3" s="206"/>
      <c r="Z3" s="202" t="s">
        <v>1</v>
      </c>
      <c r="AA3" s="230"/>
      <c r="AB3" s="232"/>
      <c r="AC3" s="204" t="s">
        <v>3</v>
      </c>
      <c r="AD3" s="207"/>
      <c r="AE3" s="233"/>
      <c r="AF3" s="204" t="s">
        <v>4</v>
      </c>
      <c r="AG3" s="207"/>
      <c r="AH3" s="234"/>
      <c r="AI3" s="202" t="s">
        <v>51</v>
      </c>
      <c r="AJ3" s="203"/>
      <c r="AK3" s="206"/>
      <c r="AL3" s="202" t="s">
        <v>28</v>
      </c>
      <c r="AM3" s="203"/>
      <c r="AN3" s="203"/>
      <c r="AO3" s="206"/>
      <c r="AP3" s="172"/>
      <c r="AQ3" s="203" t="s">
        <v>29</v>
      </c>
      <c r="AR3" s="203"/>
      <c r="AS3" s="203"/>
      <c r="AT3" s="206"/>
    </row>
    <row r="4" spans="1:46" ht="13.5" customHeight="1" x14ac:dyDescent="0.15">
      <c r="A4" s="219"/>
      <c r="B4" s="163" t="s">
        <v>10</v>
      </c>
      <c r="C4" s="158" t="s">
        <v>8</v>
      </c>
      <c r="D4" s="158" t="s">
        <v>9</v>
      </c>
      <c r="E4" s="164" t="s">
        <v>10</v>
      </c>
      <c r="F4" s="158" t="s">
        <v>8</v>
      </c>
      <c r="G4" s="165" t="s">
        <v>9</v>
      </c>
      <c r="H4" s="158" t="s">
        <v>10</v>
      </c>
      <c r="I4" s="158" t="s">
        <v>8</v>
      </c>
      <c r="J4" s="158" t="s">
        <v>9</v>
      </c>
      <c r="K4" s="157" t="s">
        <v>10</v>
      </c>
      <c r="L4" s="158" t="s">
        <v>8</v>
      </c>
      <c r="M4" s="166" t="s">
        <v>9</v>
      </c>
      <c r="N4" s="157" t="s">
        <v>10</v>
      </c>
      <c r="O4" s="158" t="s">
        <v>8</v>
      </c>
      <c r="P4" s="158" t="s">
        <v>9</v>
      </c>
      <c r="Q4" s="167" t="s">
        <v>10</v>
      </c>
      <c r="R4" s="158" t="s">
        <v>8</v>
      </c>
      <c r="S4" s="165" t="s">
        <v>9</v>
      </c>
      <c r="T4" s="158" t="s">
        <v>10</v>
      </c>
      <c r="U4" s="158" t="s">
        <v>8</v>
      </c>
      <c r="V4" s="166" t="s">
        <v>9</v>
      </c>
      <c r="W4" s="158" t="s">
        <v>10</v>
      </c>
      <c r="X4" s="158" t="s">
        <v>8</v>
      </c>
      <c r="Y4" s="166" t="s">
        <v>9</v>
      </c>
      <c r="Z4" s="157" t="s">
        <v>10</v>
      </c>
      <c r="AA4" s="158" t="s">
        <v>8</v>
      </c>
      <c r="AB4" s="13" t="s">
        <v>9</v>
      </c>
      <c r="AC4" s="167" t="s">
        <v>10</v>
      </c>
      <c r="AD4" s="158" t="s">
        <v>8</v>
      </c>
      <c r="AE4" s="165" t="s">
        <v>9</v>
      </c>
      <c r="AF4" s="158" t="s">
        <v>10</v>
      </c>
      <c r="AG4" s="158" t="s">
        <v>8</v>
      </c>
      <c r="AH4" s="166" t="s">
        <v>9</v>
      </c>
      <c r="AI4" s="157" t="s">
        <v>10</v>
      </c>
      <c r="AJ4" s="158" t="s">
        <v>8</v>
      </c>
      <c r="AK4" s="166" t="s">
        <v>9</v>
      </c>
      <c r="AL4" s="168" t="s">
        <v>26</v>
      </c>
      <c r="AM4" s="169" t="s">
        <v>25</v>
      </c>
      <c r="AN4" s="169" t="s">
        <v>21</v>
      </c>
      <c r="AO4" s="170" t="s">
        <v>27</v>
      </c>
      <c r="AP4" s="163" t="s">
        <v>10</v>
      </c>
      <c r="AQ4" s="169" t="s">
        <v>15</v>
      </c>
      <c r="AR4" s="169" t="s">
        <v>24</v>
      </c>
      <c r="AS4" s="169" t="s">
        <v>25</v>
      </c>
      <c r="AT4" s="170" t="s">
        <v>21</v>
      </c>
    </row>
    <row r="5" spans="1:46" ht="15.75" customHeight="1" x14ac:dyDescent="0.15">
      <c r="A5" s="146"/>
      <c r="B5" s="3"/>
      <c r="C5" s="115"/>
      <c r="D5" s="3"/>
      <c r="E5" s="178"/>
      <c r="F5" s="115"/>
      <c r="G5" s="3"/>
      <c r="H5" s="178"/>
      <c r="I5" s="115"/>
      <c r="J5" s="3"/>
      <c r="K5" s="195"/>
      <c r="L5" s="115"/>
      <c r="M5" s="23"/>
      <c r="N5" s="3"/>
      <c r="O5" s="67"/>
      <c r="P5" s="174"/>
      <c r="Q5" s="68"/>
      <c r="R5" s="67"/>
      <c r="S5" s="40"/>
      <c r="T5" s="68"/>
      <c r="U5" s="67"/>
      <c r="V5" s="40"/>
      <c r="W5" s="63"/>
      <c r="X5" s="67"/>
      <c r="Y5" s="26"/>
      <c r="Z5" s="3"/>
      <c r="AA5" s="115"/>
      <c r="AB5" s="40"/>
      <c r="AC5" s="3"/>
      <c r="AD5" s="115"/>
      <c r="AE5" s="40"/>
      <c r="AF5" s="3"/>
      <c r="AG5" s="7"/>
      <c r="AH5" s="3"/>
      <c r="AI5" s="41"/>
      <c r="AJ5" s="7"/>
      <c r="AK5" s="44"/>
      <c r="AL5" s="117"/>
      <c r="AM5" s="115"/>
      <c r="AN5" s="7"/>
      <c r="AO5" s="171"/>
      <c r="AP5" s="63"/>
      <c r="AQ5" s="3"/>
      <c r="AR5" s="116"/>
      <c r="AS5" s="3"/>
      <c r="AT5" s="26"/>
    </row>
    <row r="6" spans="1:46" ht="15.75" customHeight="1" x14ac:dyDescent="0.15">
      <c r="A6" s="146">
        <v>43586</v>
      </c>
      <c r="B6" s="3"/>
      <c r="C6" s="115"/>
      <c r="D6" s="3"/>
      <c r="E6" s="178"/>
      <c r="F6" s="115"/>
      <c r="G6" s="3"/>
      <c r="H6" s="178"/>
      <c r="I6" s="115"/>
      <c r="J6" s="3"/>
      <c r="K6" s="195"/>
      <c r="L6" s="115"/>
      <c r="M6" s="23"/>
      <c r="N6" s="3">
        <v>90874</v>
      </c>
      <c r="O6" s="67">
        <v>0.14492721264624453</v>
      </c>
      <c r="P6" s="174">
        <v>627032</v>
      </c>
      <c r="Q6" s="68">
        <v>5067</v>
      </c>
      <c r="R6" s="67">
        <v>0.44303576112616944</v>
      </c>
      <c r="S6" s="40">
        <v>11437</v>
      </c>
      <c r="T6" s="68">
        <v>354</v>
      </c>
      <c r="U6" s="67">
        <v>0.8719211822660099</v>
      </c>
      <c r="V6" s="40">
        <v>406</v>
      </c>
      <c r="W6" s="63">
        <v>96295</v>
      </c>
      <c r="X6" s="67">
        <v>0.1507258853453336</v>
      </c>
      <c r="Y6" s="26">
        <v>638875</v>
      </c>
      <c r="Z6" s="3"/>
      <c r="AA6" s="115"/>
      <c r="AB6" s="40"/>
      <c r="AC6" s="3"/>
      <c r="AD6" s="115"/>
      <c r="AE6" s="40"/>
      <c r="AF6" s="3"/>
      <c r="AG6" s="7"/>
      <c r="AH6" s="3"/>
      <c r="AI6" s="41"/>
      <c r="AJ6" s="7"/>
      <c r="AK6" s="44"/>
      <c r="AL6" s="117">
        <f>(B6+N6+Z6)/AR6</f>
        <v>0.14492721264624453</v>
      </c>
      <c r="AM6" s="115">
        <f>(E6+Q6+AC6)/AS6</f>
        <v>0.44303576112616944</v>
      </c>
      <c r="AN6" s="7">
        <f>(H6+T6+AF6)/AT6</f>
        <v>0.8719211822660099</v>
      </c>
      <c r="AO6" s="171">
        <f>AP6/AQ6</f>
        <v>0.14945770267082212</v>
      </c>
      <c r="AP6" s="63">
        <f>AF6+AC6+Z6+T6+Q6+N6+H6+E6+B6</f>
        <v>96295</v>
      </c>
      <c r="AQ6" s="3">
        <f>AH6+AF6+AE6+AC6+Z6+AB6+V6+T6+S6+Q6+P6+J6+H6+G6+E6+D6+B6</f>
        <v>644296</v>
      </c>
      <c r="AR6" s="116">
        <f>+D6+P6+AB6</f>
        <v>627032</v>
      </c>
      <c r="AS6" s="3">
        <f>G6+S6+AE6</f>
        <v>11437</v>
      </c>
      <c r="AT6" s="26">
        <f>J6+V6+AH6</f>
        <v>406</v>
      </c>
    </row>
    <row r="7" spans="1:46" ht="15.75" customHeight="1" x14ac:dyDescent="0.15">
      <c r="A7" s="146">
        <v>43556</v>
      </c>
      <c r="B7" s="3">
        <v>11711</v>
      </c>
      <c r="C7" s="115">
        <v>9.2280900824232112E-2</v>
      </c>
      <c r="D7" s="3">
        <v>126906</v>
      </c>
      <c r="E7" s="178">
        <v>827</v>
      </c>
      <c r="F7" s="115">
        <v>0.43965975544922914</v>
      </c>
      <c r="G7" s="3">
        <v>1881</v>
      </c>
      <c r="H7" s="178">
        <v>33</v>
      </c>
      <c r="I7" s="115">
        <v>0.67346938775510201</v>
      </c>
      <c r="J7" s="3">
        <v>49</v>
      </c>
      <c r="K7" s="195">
        <v>12571</v>
      </c>
      <c r="L7" s="115">
        <v>9.7573659536154489E-2</v>
      </c>
      <c r="M7" s="23">
        <v>128836</v>
      </c>
      <c r="N7" s="3">
        <v>86621</v>
      </c>
      <c r="O7" s="67">
        <v>0.14462311104729497</v>
      </c>
      <c r="P7" s="174">
        <v>598943</v>
      </c>
      <c r="Q7" s="68">
        <v>4906</v>
      </c>
      <c r="R7" s="67">
        <v>0.43690444385074362</v>
      </c>
      <c r="S7" s="40">
        <v>11229</v>
      </c>
      <c r="T7" s="68">
        <v>350</v>
      </c>
      <c r="U7" s="67">
        <v>0.86419753086419748</v>
      </c>
      <c r="V7" s="40">
        <v>405</v>
      </c>
      <c r="W7" s="63">
        <v>91877</v>
      </c>
      <c r="X7" s="67">
        <v>0.15047569757786486</v>
      </c>
      <c r="Y7" s="26">
        <v>610577</v>
      </c>
      <c r="Z7" s="3">
        <v>394</v>
      </c>
      <c r="AA7" s="115">
        <v>1.0679243237382773E-2</v>
      </c>
      <c r="AB7" s="40">
        <v>36894</v>
      </c>
      <c r="AC7" s="3">
        <v>72</v>
      </c>
      <c r="AD7" s="115">
        <v>0.39779005524861877</v>
      </c>
      <c r="AE7" s="40">
        <v>181</v>
      </c>
      <c r="AF7" s="3">
        <v>13</v>
      </c>
      <c r="AG7" s="7">
        <v>0.8125</v>
      </c>
      <c r="AH7" s="3">
        <v>16</v>
      </c>
      <c r="AI7" s="41">
        <v>479</v>
      </c>
      <c r="AJ7" s="7">
        <v>1.2914184033862661E-2</v>
      </c>
      <c r="AK7" s="44">
        <v>37091</v>
      </c>
      <c r="AL7" s="117">
        <f t="shared" ref="AL7:AL12" si="0">(B7+N7+Z7)/AR7</f>
        <v>0.1294354717119659</v>
      </c>
      <c r="AM7" s="115">
        <f t="shared" ref="AM7:AM12" si="1">(E7+Q7+AC7)/AS7</f>
        <v>0.43676171845609812</v>
      </c>
      <c r="AN7" s="7">
        <f t="shared" ref="AN7:AN12" si="2">(H7+T7+AF7)/AT7</f>
        <v>0.8425531914893617</v>
      </c>
      <c r="AO7" s="171">
        <f t="shared" ref="AO7:AO12" si="3">AP7/AQ7</f>
        <v>0.13201519860092348</v>
      </c>
      <c r="AP7" s="63">
        <f t="shared" ref="AP7:AP12" si="4">AF7+AC7+Z7+T7+Q7+N7+H7+E7+B7</f>
        <v>104927</v>
      </c>
      <c r="AQ7" s="3">
        <f t="shared" ref="AQ7:AQ12" si="5">AH7+AF7+AE7+AC7+Z7+AB7+V7+T7+S7+Q7+P7+J7+H7+G7+E7+D7+B7</f>
        <v>794810</v>
      </c>
      <c r="AR7" s="116">
        <f t="shared" ref="AR7:AR12" si="6">+D7+P7+AB7</f>
        <v>762743</v>
      </c>
      <c r="AS7" s="3">
        <f t="shared" ref="AS7:AS12" si="7">G7+S7+AE7</f>
        <v>13291</v>
      </c>
      <c r="AT7" s="26">
        <f t="shared" ref="AT7:AT12" si="8">J7+V7+AH7</f>
        <v>470</v>
      </c>
    </row>
    <row r="8" spans="1:46" ht="15.75" customHeight="1" x14ac:dyDescent="0.15">
      <c r="A8" s="146">
        <v>43525</v>
      </c>
      <c r="B8" s="3">
        <v>11722</v>
      </c>
      <c r="C8" s="115">
        <v>9.2999999999999999E-2</v>
      </c>
      <c r="D8" s="3">
        <v>126690</v>
      </c>
      <c r="E8" s="178">
        <v>820</v>
      </c>
      <c r="F8" s="115">
        <v>0.442</v>
      </c>
      <c r="G8" s="3">
        <v>1854</v>
      </c>
      <c r="H8" s="178">
        <v>33</v>
      </c>
      <c r="I8" s="115">
        <v>0.67300000000000004</v>
      </c>
      <c r="J8" s="3">
        <v>49</v>
      </c>
      <c r="K8" s="195">
        <v>12575</v>
      </c>
      <c r="L8" s="115">
        <v>9.8000000000000004E-2</v>
      </c>
      <c r="M8" s="23">
        <v>128593</v>
      </c>
      <c r="N8" s="3">
        <v>91321</v>
      </c>
      <c r="O8" s="67">
        <v>0.14646535118741169</v>
      </c>
      <c r="P8" s="174">
        <v>623499</v>
      </c>
      <c r="Q8" s="68">
        <v>4992</v>
      </c>
      <c r="R8" s="67">
        <v>0.43071613459879204</v>
      </c>
      <c r="S8" s="40">
        <v>11590</v>
      </c>
      <c r="T8" s="68">
        <v>355</v>
      </c>
      <c r="U8" s="67">
        <v>0.86165048543689315</v>
      </c>
      <c r="V8" s="40">
        <v>412</v>
      </c>
      <c r="W8" s="63">
        <v>96668</v>
      </c>
      <c r="X8" s="67">
        <v>0.15211305725718763</v>
      </c>
      <c r="Y8" s="26">
        <v>635501</v>
      </c>
      <c r="Z8" s="3">
        <v>393</v>
      </c>
      <c r="AA8" s="115">
        <v>1.0999999999999999E-2</v>
      </c>
      <c r="AB8" s="40">
        <v>36892</v>
      </c>
      <c r="AC8" s="3">
        <v>72</v>
      </c>
      <c r="AD8" s="115">
        <v>0.39800000000000002</v>
      </c>
      <c r="AE8" s="40">
        <v>181</v>
      </c>
      <c r="AF8" s="3">
        <v>13</v>
      </c>
      <c r="AG8" s="7">
        <v>0.81299999999999994</v>
      </c>
      <c r="AH8" s="3">
        <v>16</v>
      </c>
      <c r="AI8" s="41">
        <v>478</v>
      </c>
      <c r="AJ8" s="7">
        <v>1.2999999999999999E-2</v>
      </c>
      <c r="AK8" s="26">
        <v>37089</v>
      </c>
      <c r="AL8" s="117">
        <f t="shared" si="0"/>
        <v>0.13141722389436411</v>
      </c>
      <c r="AM8" s="115">
        <f t="shared" si="1"/>
        <v>0.43185321100917429</v>
      </c>
      <c r="AN8" s="7">
        <f t="shared" si="2"/>
        <v>0.84067085953878407</v>
      </c>
      <c r="AO8" s="171">
        <f t="shared" si="3"/>
        <v>0.13387417747805896</v>
      </c>
      <c r="AP8" s="63">
        <f t="shared" si="4"/>
        <v>109721</v>
      </c>
      <c r="AQ8" s="3">
        <f t="shared" si="5"/>
        <v>819583</v>
      </c>
      <c r="AR8" s="116">
        <f t="shared" si="6"/>
        <v>787081</v>
      </c>
      <c r="AS8" s="3">
        <f t="shared" si="7"/>
        <v>13625</v>
      </c>
      <c r="AT8" s="26">
        <f t="shared" si="8"/>
        <v>477</v>
      </c>
    </row>
    <row r="9" spans="1:46" ht="15.75" customHeight="1" x14ac:dyDescent="0.15">
      <c r="A9" s="146">
        <v>43497</v>
      </c>
      <c r="B9" s="3">
        <v>11757</v>
      </c>
      <c r="C9" s="115">
        <v>8.3614846844796559E-2</v>
      </c>
      <c r="D9" s="3">
        <v>140609</v>
      </c>
      <c r="E9" s="178">
        <v>816</v>
      </c>
      <c r="F9" s="115">
        <v>0.43965517241379309</v>
      </c>
      <c r="G9" s="3">
        <v>1856</v>
      </c>
      <c r="H9" s="178">
        <v>31</v>
      </c>
      <c r="I9" s="115">
        <v>0.63265306122448983</v>
      </c>
      <c r="J9" s="3">
        <v>49</v>
      </c>
      <c r="K9" s="195">
        <v>12604</v>
      </c>
      <c r="L9" s="115">
        <v>8.844043392228132E-2</v>
      </c>
      <c r="M9" s="23">
        <v>142514</v>
      </c>
      <c r="N9" s="3">
        <v>86234</v>
      </c>
      <c r="O9" s="67">
        <v>0.14589917638380379</v>
      </c>
      <c r="P9" s="174">
        <v>591052</v>
      </c>
      <c r="Q9" s="68">
        <v>4604</v>
      </c>
      <c r="R9" s="67">
        <v>0.42609902822767237</v>
      </c>
      <c r="S9" s="40">
        <v>10805</v>
      </c>
      <c r="T9" s="68">
        <v>296</v>
      </c>
      <c r="U9" s="67">
        <v>0.87315634218289084</v>
      </c>
      <c r="V9" s="40">
        <v>339</v>
      </c>
      <c r="W9" s="63">
        <v>91134</v>
      </c>
      <c r="X9" s="67">
        <v>0.15133610983799295</v>
      </c>
      <c r="Y9" s="26">
        <v>602196</v>
      </c>
      <c r="Z9" s="3">
        <v>386</v>
      </c>
      <c r="AA9" s="115">
        <v>1.0455604312259602E-2</v>
      </c>
      <c r="AB9" s="40">
        <v>36918</v>
      </c>
      <c r="AC9" s="3">
        <v>70</v>
      </c>
      <c r="AD9" s="115">
        <v>0.38674033149171272</v>
      </c>
      <c r="AE9" s="40">
        <v>181</v>
      </c>
      <c r="AF9" s="3">
        <v>13</v>
      </c>
      <c r="AG9" s="7">
        <v>0.8125</v>
      </c>
      <c r="AH9" s="3">
        <v>16</v>
      </c>
      <c r="AI9" s="41">
        <v>469</v>
      </c>
      <c r="AJ9" s="7">
        <v>1.2636400377205981E-2</v>
      </c>
      <c r="AK9" s="44">
        <v>37115</v>
      </c>
      <c r="AL9" s="117">
        <f t="shared" si="0"/>
        <v>0.12799855317410441</v>
      </c>
      <c r="AM9" s="115">
        <f t="shared" si="1"/>
        <v>0.42750350412708299</v>
      </c>
      <c r="AN9" s="7">
        <f t="shared" si="2"/>
        <v>0.84158415841584155</v>
      </c>
      <c r="AO9" s="171">
        <f t="shared" si="3"/>
        <v>0.13029164864128193</v>
      </c>
      <c r="AP9" s="63">
        <f t="shared" si="4"/>
        <v>104207</v>
      </c>
      <c r="AQ9" s="3">
        <f t="shared" si="5"/>
        <v>799798</v>
      </c>
      <c r="AR9" s="116">
        <f t="shared" si="6"/>
        <v>768579</v>
      </c>
      <c r="AS9" s="3">
        <f t="shared" si="7"/>
        <v>12842</v>
      </c>
      <c r="AT9" s="26">
        <f t="shared" si="8"/>
        <v>404</v>
      </c>
    </row>
    <row r="10" spans="1:46" ht="15.75" customHeight="1" x14ac:dyDescent="0.15">
      <c r="A10" s="146">
        <v>43466</v>
      </c>
      <c r="B10" s="3">
        <v>11808</v>
      </c>
      <c r="C10" s="115">
        <v>8.4002048830459281E-2</v>
      </c>
      <c r="D10" s="3">
        <v>140568</v>
      </c>
      <c r="E10" s="178">
        <v>814</v>
      </c>
      <c r="F10" s="115">
        <v>0.4369296833064949</v>
      </c>
      <c r="G10" s="3">
        <v>1863</v>
      </c>
      <c r="H10" s="178">
        <v>31</v>
      </c>
      <c r="I10" s="115">
        <v>0.63265306122448983</v>
      </c>
      <c r="J10" s="3">
        <v>49</v>
      </c>
      <c r="K10" s="195">
        <v>12653</v>
      </c>
      <c r="L10" s="115">
        <v>8.8805446378439082E-2</v>
      </c>
      <c r="M10" s="23">
        <v>142480</v>
      </c>
      <c r="N10" s="3">
        <v>93299</v>
      </c>
      <c r="O10" s="67">
        <v>0.15018503703155206</v>
      </c>
      <c r="P10" s="174">
        <v>621227</v>
      </c>
      <c r="Q10" s="68">
        <v>4900</v>
      </c>
      <c r="R10" s="67">
        <v>0.420636964546313</v>
      </c>
      <c r="S10" s="40">
        <v>11649</v>
      </c>
      <c r="T10" s="68">
        <v>347</v>
      </c>
      <c r="U10" s="67">
        <v>0.86318407960199006</v>
      </c>
      <c r="V10" s="40">
        <v>402</v>
      </c>
      <c r="W10" s="63">
        <v>98546</v>
      </c>
      <c r="X10" s="67">
        <v>0.15561254299059812</v>
      </c>
      <c r="Y10" s="26">
        <v>633278</v>
      </c>
      <c r="Z10" s="3">
        <v>368</v>
      </c>
      <c r="AA10" s="115">
        <v>9.9634493028292938E-3</v>
      </c>
      <c r="AB10" s="40">
        <v>36935</v>
      </c>
      <c r="AC10" s="3">
        <v>69</v>
      </c>
      <c r="AD10" s="115">
        <v>0.37912087912087911</v>
      </c>
      <c r="AE10" s="40">
        <v>182</v>
      </c>
      <c r="AF10" s="3">
        <v>13</v>
      </c>
      <c r="AG10" s="7">
        <v>0.8125</v>
      </c>
      <c r="AH10" s="3">
        <v>16</v>
      </c>
      <c r="AI10" s="41">
        <v>450</v>
      </c>
      <c r="AJ10" s="7">
        <v>1.2118600705571863E-2</v>
      </c>
      <c r="AK10" s="44">
        <v>37133</v>
      </c>
      <c r="AL10" s="117">
        <f t="shared" si="0"/>
        <v>0.1320533847482879</v>
      </c>
      <c r="AM10" s="115">
        <f t="shared" si="1"/>
        <v>0.42230173798743975</v>
      </c>
      <c r="AN10" s="7">
        <f t="shared" si="2"/>
        <v>0.83725910064239828</v>
      </c>
      <c r="AO10" s="171">
        <f t="shared" si="3"/>
        <v>0.13431604071502729</v>
      </c>
      <c r="AP10" s="63">
        <f t="shared" si="4"/>
        <v>111649</v>
      </c>
      <c r="AQ10" s="3">
        <f t="shared" si="5"/>
        <v>831241</v>
      </c>
      <c r="AR10" s="116">
        <f t="shared" si="6"/>
        <v>798730</v>
      </c>
      <c r="AS10" s="3">
        <f t="shared" si="7"/>
        <v>13694</v>
      </c>
      <c r="AT10" s="26">
        <f t="shared" si="8"/>
        <v>467</v>
      </c>
    </row>
    <row r="11" spans="1:46" ht="15.75" customHeight="1" x14ac:dyDescent="0.15">
      <c r="A11" s="146">
        <v>43435</v>
      </c>
      <c r="B11" s="3">
        <v>11933</v>
      </c>
      <c r="C11" s="115">
        <v>9.426122674671196E-2</v>
      </c>
      <c r="D11" s="3">
        <v>126595</v>
      </c>
      <c r="E11" s="178">
        <v>807</v>
      </c>
      <c r="F11" s="115">
        <v>0.43293991416309013</v>
      </c>
      <c r="G11" s="3">
        <v>1864</v>
      </c>
      <c r="H11" s="178">
        <v>31</v>
      </c>
      <c r="I11" s="115">
        <v>0.63265306122448983</v>
      </c>
      <c r="J11" s="3">
        <v>49</v>
      </c>
      <c r="K11" s="195">
        <v>12771</v>
      </c>
      <c r="L11" s="115">
        <v>9.9379026986646746E-2</v>
      </c>
      <c r="M11" s="23">
        <v>128508</v>
      </c>
      <c r="N11" s="3">
        <v>92841</v>
      </c>
      <c r="O11" s="67">
        <v>0.15101696238605533</v>
      </c>
      <c r="P11" s="174">
        <v>614772</v>
      </c>
      <c r="Q11" s="68">
        <v>4465</v>
      </c>
      <c r="R11" s="67">
        <v>0.40742768500775617</v>
      </c>
      <c r="S11" s="40">
        <v>10959</v>
      </c>
      <c r="T11" s="68">
        <v>321</v>
      </c>
      <c r="U11" s="67">
        <v>0.87465940054495916</v>
      </c>
      <c r="V11" s="40">
        <v>367</v>
      </c>
      <c r="W11" s="63">
        <v>97627</v>
      </c>
      <c r="X11" s="67">
        <v>0.15592926346993602</v>
      </c>
      <c r="Y11" s="26">
        <v>626098</v>
      </c>
      <c r="Z11" s="3">
        <v>369</v>
      </c>
      <c r="AA11" s="115">
        <v>9.9907943899929606E-3</v>
      </c>
      <c r="AB11" s="40">
        <v>36934</v>
      </c>
      <c r="AC11" s="3">
        <v>71</v>
      </c>
      <c r="AD11" s="115">
        <v>0.3858695652173913</v>
      </c>
      <c r="AE11" s="40">
        <v>184</v>
      </c>
      <c r="AF11" s="3">
        <v>13</v>
      </c>
      <c r="AG11" s="7">
        <v>0.8125</v>
      </c>
      <c r="AH11" s="3">
        <v>16</v>
      </c>
      <c r="AI11" s="41">
        <v>453</v>
      </c>
      <c r="AJ11" s="7">
        <v>1.2199062853449669E-2</v>
      </c>
      <c r="AK11" s="44">
        <v>37134</v>
      </c>
      <c r="AL11" s="117">
        <f t="shared" si="0"/>
        <v>0.13509297816654481</v>
      </c>
      <c r="AM11" s="115">
        <f t="shared" si="1"/>
        <v>0.41077881140924116</v>
      </c>
      <c r="AN11" s="7">
        <f t="shared" si="2"/>
        <v>0.84490740740740744</v>
      </c>
      <c r="AO11" s="171">
        <f t="shared" si="3"/>
        <v>0.13689533806730472</v>
      </c>
      <c r="AP11" s="63">
        <f t="shared" si="4"/>
        <v>110851</v>
      </c>
      <c r="AQ11" s="3">
        <f t="shared" si="5"/>
        <v>809750</v>
      </c>
      <c r="AR11" s="116">
        <f t="shared" si="6"/>
        <v>778301</v>
      </c>
      <c r="AS11" s="3">
        <f t="shared" si="7"/>
        <v>13007</v>
      </c>
      <c r="AT11" s="26">
        <f t="shared" si="8"/>
        <v>432</v>
      </c>
    </row>
    <row r="12" spans="1:46" ht="15.75" customHeight="1" x14ac:dyDescent="0.15">
      <c r="A12" s="146">
        <v>43405</v>
      </c>
      <c r="B12" s="3">
        <v>11953</v>
      </c>
      <c r="C12" s="115">
        <v>9.4393859226559476E-2</v>
      </c>
      <c r="D12" s="3">
        <v>126629</v>
      </c>
      <c r="E12" s="178">
        <v>807</v>
      </c>
      <c r="F12" s="115">
        <v>0.43201284796573874</v>
      </c>
      <c r="G12" s="3">
        <v>1868</v>
      </c>
      <c r="H12" s="178">
        <v>31</v>
      </c>
      <c r="I12" s="115">
        <v>0.63265306122448983</v>
      </c>
      <c r="J12" s="3">
        <v>49</v>
      </c>
      <c r="K12" s="195">
        <v>12791</v>
      </c>
      <c r="L12" s="115">
        <v>9.9505235479906029E-2</v>
      </c>
      <c r="M12" s="23">
        <v>128546</v>
      </c>
      <c r="N12" s="3">
        <v>91004</v>
      </c>
      <c r="O12" s="67">
        <v>0.15492996111599147</v>
      </c>
      <c r="P12" s="174">
        <v>587388</v>
      </c>
      <c r="Q12" s="68">
        <v>4218</v>
      </c>
      <c r="R12" s="67">
        <v>0.40702499276271348</v>
      </c>
      <c r="S12" s="40">
        <v>10363</v>
      </c>
      <c r="T12" s="68">
        <v>328</v>
      </c>
      <c r="U12" s="67">
        <v>0.86772486772486768</v>
      </c>
      <c r="V12" s="40">
        <v>378</v>
      </c>
      <c r="W12" s="63">
        <v>95550</v>
      </c>
      <c r="X12" s="67">
        <v>0.159748147974768</v>
      </c>
      <c r="Y12" s="26">
        <v>598129</v>
      </c>
      <c r="Z12" s="3">
        <v>370</v>
      </c>
      <c r="AA12" s="115">
        <v>1.0005408328826392E-2</v>
      </c>
      <c r="AB12" s="40">
        <v>36980</v>
      </c>
      <c r="AC12" s="3">
        <v>71</v>
      </c>
      <c r="AD12" s="115">
        <v>0.3858695652173913</v>
      </c>
      <c r="AE12" s="40">
        <v>184</v>
      </c>
      <c r="AF12" s="3">
        <v>13</v>
      </c>
      <c r="AG12" s="7">
        <v>0.8125</v>
      </c>
      <c r="AH12" s="3">
        <v>16</v>
      </c>
      <c r="AI12" s="41">
        <v>454</v>
      </c>
      <c r="AJ12" s="7">
        <v>1.2210866057019903E-2</v>
      </c>
      <c r="AK12" s="44">
        <v>37180</v>
      </c>
      <c r="AL12" s="117">
        <f t="shared" si="0"/>
        <v>0.13758643509894181</v>
      </c>
      <c r="AM12" s="115">
        <f t="shared" si="1"/>
        <v>0.41047120418848165</v>
      </c>
      <c r="AN12" s="7">
        <f t="shared" si="2"/>
        <v>0.83972911963882624</v>
      </c>
      <c r="AO12" s="171">
        <f t="shared" si="3"/>
        <v>0.13918704886866945</v>
      </c>
      <c r="AP12" s="63">
        <f t="shared" si="4"/>
        <v>108795</v>
      </c>
      <c r="AQ12" s="3">
        <f t="shared" si="5"/>
        <v>781646</v>
      </c>
      <c r="AR12" s="116">
        <f t="shared" si="6"/>
        <v>750997</v>
      </c>
      <c r="AS12" s="3">
        <f t="shared" si="7"/>
        <v>12415</v>
      </c>
      <c r="AT12" s="26">
        <f t="shared" si="8"/>
        <v>443</v>
      </c>
    </row>
    <row r="13" spans="1:46" ht="15.75" customHeight="1" x14ac:dyDescent="0.15">
      <c r="A13" s="146">
        <v>43404</v>
      </c>
      <c r="B13" s="3">
        <v>11693</v>
      </c>
      <c r="C13" s="115">
        <v>9.2044774709531152E-2</v>
      </c>
      <c r="D13" s="3">
        <v>127036</v>
      </c>
      <c r="E13" s="178">
        <v>812</v>
      </c>
      <c r="F13" s="115">
        <v>0.43868179362506754</v>
      </c>
      <c r="G13" s="3">
        <v>1851</v>
      </c>
      <c r="H13" s="178">
        <v>31</v>
      </c>
      <c r="I13" s="115">
        <v>0.62</v>
      </c>
      <c r="J13" s="3">
        <v>50</v>
      </c>
      <c r="K13" s="195">
        <v>12536</v>
      </c>
      <c r="L13" s="115">
        <v>9.7225776929818444E-2</v>
      </c>
      <c r="M13" s="23">
        <v>128937</v>
      </c>
      <c r="N13" s="3">
        <v>98088</v>
      </c>
      <c r="O13" s="67">
        <v>0.15840292233431466</v>
      </c>
      <c r="P13" s="174">
        <v>619231</v>
      </c>
      <c r="Q13" s="68">
        <v>4755</v>
      </c>
      <c r="R13" s="67">
        <v>0.42001589965550745</v>
      </c>
      <c r="S13" s="40">
        <v>11321</v>
      </c>
      <c r="T13" s="68">
        <v>350</v>
      </c>
      <c r="U13" s="67">
        <v>0.87281795511221949</v>
      </c>
      <c r="V13" s="40">
        <v>401</v>
      </c>
      <c r="W13" s="63">
        <v>103193</v>
      </c>
      <c r="X13" s="67">
        <v>0.1635510093461795</v>
      </c>
      <c r="Y13" s="26">
        <v>630953</v>
      </c>
      <c r="Z13" s="3">
        <v>371</v>
      </c>
      <c r="AA13" s="115">
        <v>1.0003505271388897E-2</v>
      </c>
      <c r="AB13" s="40">
        <v>37087</v>
      </c>
      <c r="AC13" s="3">
        <v>71</v>
      </c>
      <c r="AD13" s="115">
        <v>0.3858695652173913</v>
      </c>
      <c r="AE13" s="40">
        <v>184</v>
      </c>
      <c r="AF13" s="3">
        <v>13</v>
      </c>
      <c r="AG13" s="7">
        <v>0.8125</v>
      </c>
      <c r="AH13" s="3">
        <v>16</v>
      </c>
      <c r="AI13" s="41">
        <v>455</v>
      </c>
      <c r="AJ13" s="7">
        <v>1.2202644353259849E-2</v>
      </c>
      <c r="AK13" s="44">
        <v>37287</v>
      </c>
      <c r="AL13" s="117">
        <f>(B13+N13+Z13)/AR13</f>
        <v>0.14061586460272113</v>
      </c>
      <c r="AM13" s="115">
        <f>(E13+Q13+AC13)/AS13</f>
        <v>0.42213237496256362</v>
      </c>
      <c r="AN13" s="7">
        <f>(H13+T13+AF13)/AT13</f>
        <v>0.84368308351177734</v>
      </c>
      <c r="AO13" s="171">
        <f>AP13/AQ13</f>
        <v>0.14250931896432237</v>
      </c>
      <c r="AP13" s="63">
        <f>AF13+AC13+Z13+T13+Q13+N13+H13+E13+B13</f>
        <v>116184</v>
      </c>
      <c r="AQ13" s="3">
        <f>AH13+AF13+AE13+AC13+Z13+AB13+V13+T13+S13+Q13+P13+J13+H13+G13+E13+D13+B13</f>
        <v>815273</v>
      </c>
      <c r="AR13" s="116">
        <f>+D13+P13+AB13</f>
        <v>783354</v>
      </c>
      <c r="AS13" s="3">
        <f>G13+S13+AE13</f>
        <v>13356</v>
      </c>
      <c r="AT13" s="26">
        <f>J13+V13+AH13</f>
        <v>467</v>
      </c>
    </row>
    <row r="14" spans="1:46" ht="15.75" customHeight="1" x14ac:dyDescent="0.15">
      <c r="A14" s="146">
        <v>43344</v>
      </c>
      <c r="B14" s="3">
        <v>11454</v>
      </c>
      <c r="C14" s="115">
        <v>8.994181344180166E-2</v>
      </c>
      <c r="D14" s="3">
        <v>127349</v>
      </c>
      <c r="E14" s="178">
        <v>810</v>
      </c>
      <c r="F14" s="115">
        <v>0.43571812802582033</v>
      </c>
      <c r="G14" s="3">
        <v>1859</v>
      </c>
      <c r="H14" s="178">
        <v>31</v>
      </c>
      <c r="I14" s="115">
        <v>0.64583333333333337</v>
      </c>
      <c r="J14" s="3">
        <v>48</v>
      </c>
      <c r="K14" s="195">
        <v>12295</v>
      </c>
      <c r="L14" s="115">
        <v>9.5121309649068508E-2</v>
      </c>
      <c r="M14" s="23">
        <v>129256</v>
      </c>
      <c r="N14" s="3">
        <v>94275</v>
      </c>
      <c r="O14" s="67">
        <v>0.16045743346399133</v>
      </c>
      <c r="P14" s="174">
        <v>587539</v>
      </c>
      <c r="Q14" s="68">
        <v>4412</v>
      </c>
      <c r="R14" s="67">
        <v>0.42529400424137265</v>
      </c>
      <c r="S14" s="40">
        <v>10374</v>
      </c>
      <c r="T14" s="68">
        <v>312</v>
      </c>
      <c r="U14" s="67">
        <v>0.86908077994428967</v>
      </c>
      <c r="V14" s="40">
        <v>359</v>
      </c>
      <c r="W14" s="63">
        <v>98999</v>
      </c>
      <c r="X14" s="67">
        <v>0.16547490104835258</v>
      </c>
      <c r="Y14" s="26">
        <v>598272</v>
      </c>
      <c r="Z14" s="3">
        <v>372</v>
      </c>
      <c r="AA14" s="115">
        <v>1.0029387182874551E-2</v>
      </c>
      <c r="AB14" s="40">
        <v>37091</v>
      </c>
      <c r="AC14" s="3">
        <v>71</v>
      </c>
      <c r="AD14" s="115">
        <v>0.3858695652173913</v>
      </c>
      <c r="AE14" s="40">
        <v>184</v>
      </c>
      <c r="AF14" s="3">
        <v>13</v>
      </c>
      <c r="AG14" s="7">
        <v>0.8125</v>
      </c>
      <c r="AH14" s="3">
        <v>16</v>
      </c>
      <c r="AI14" s="41">
        <v>456</v>
      </c>
      <c r="AJ14" s="7">
        <v>1.2228151564720711E-2</v>
      </c>
      <c r="AK14" s="44">
        <v>37291</v>
      </c>
      <c r="AL14" s="117">
        <f>(B14+N14+Z14)/AR14</f>
        <v>0.14109569549149645</v>
      </c>
      <c r="AM14" s="115">
        <f>(E14+Q14+AC14)/AS14</f>
        <v>0.42627043569300155</v>
      </c>
      <c r="AN14" s="7">
        <f>(H14+T14+AF14)/AT14</f>
        <v>0.84160756501182032</v>
      </c>
      <c r="AO14" s="171">
        <f>AP14/AQ14</f>
        <v>0.14284910788015759</v>
      </c>
      <c r="AP14" s="63">
        <f>AF14+AC14+Z14+T14+Q14+N14+H14+E14+B14</f>
        <v>111750</v>
      </c>
      <c r="AQ14" s="3">
        <f>AH14+AF14+AE14+AC14+Z14+AB14+V14+T14+S14+Q14+P14+J14+H14+G14+E14+D14+B14</f>
        <v>782294</v>
      </c>
      <c r="AR14" s="116">
        <f>+D14+P14+AB14</f>
        <v>751979</v>
      </c>
      <c r="AS14" s="3">
        <f>G14+S14+AE14</f>
        <v>12417</v>
      </c>
      <c r="AT14" s="26">
        <f>J14+V14+AH14</f>
        <v>423</v>
      </c>
    </row>
    <row r="15" spans="1:46" ht="15.75" customHeight="1" x14ac:dyDescent="0.15">
      <c r="A15" s="146">
        <v>43313</v>
      </c>
      <c r="B15" s="3">
        <v>11627</v>
      </c>
      <c r="C15" s="115">
        <v>9.1273049840250572E-2</v>
      </c>
      <c r="D15" s="3">
        <v>127387</v>
      </c>
      <c r="E15" s="178">
        <v>805</v>
      </c>
      <c r="F15" s="115">
        <v>0.43186695278969955</v>
      </c>
      <c r="G15" s="3">
        <v>1864</v>
      </c>
      <c r="H15" s="178">
        <v>31</v>
      </c>
      <c r="I15" s="115">
        <v>0.64583333333333337</v>
      </c>
      <c r="J15" s="3">
        <v>48</v>
      </c>
      <c r="K15" s="195">
        <v>12463</v>
      </c>
      <c r="L15" s="115">
        <v>9.6388989860710442E-2</v>
      </c>
      <c r="M15" s="23">
        <v>129299</v>
      </c>
      <c r="N15" s="3">
        <v>100400</v>
      </c>
      <c r="O15" s="67">
        <v>0.16240698802976383</v>
      </c>
      <c r="P15" s="174">
        <v>618200</v>
      </c>
      <c r="Q15" s="68">
        <v>4702</v>
      </c>
      <c r="R15" s="67">
        <v>0.42862351868732906</v>
      </c>
      <c r="S15" s="40">
        <v>10970</v>
      </c>
      <c r="T15" s="68">
        <v>363</v>
      </c>
      <c r="U15" s="67">
        <v>0.88321167883211682</v>
      </c>
      <c r="V15" s="40">
        <v>411</v>
      </c>
      <c r="W15" s="63">
        <v>105465</v>
      </c>
      <c r="X15" s="67">
        <v>0.16751617345504391</v>
      </c>
      <c r="Y15" s="26">
        <v>629581</v>
      </c>
      <c r="Z15" s="3">
        <v>372</v>
      </c>
      <c r="AA15" s="115">
        <v>1.0032362459546926E-2</v>
      </c>
      <c r="AB15" s="40">
        <v>37080</v>
      </c>
      <c r="AC15" s="3">
        <v>72</v>
      </c>
      <c r="AD15" s="115">
        <v>0.38918918918918921</v>
      </c>
      <c r="AE15" s="40">
        <v>185</v>
      </c>
      <c r="AF15" s="3">
        <v>13</v>
      </c>
      <c r="AG15" s="7">
        <v>0.8125</v>
      </c>
      <c r="AH15" s="3">
        <v>16</v>
      </c>
      <c r="AI15" s="41">
        <v>457</v>
      </c>
      <c r="AJ15" s="7">
        <v>1.2258254875137469E-2</v>
      </c>
      <c r="AK15" s="44">
        <v>37281</v>
      </c>
      <c r="AL15" s="117">
        <f>(B15+N15+Z15)/AR15</f>
        <v>0.14361024548115608</v>
      </c>
      <c r="AM15" s="115">
        <f>(E15+Q15+AC15)/AS15</f>
        <v>0.42852753667716414</v>
      </c>
      <c r="AN15" s="7">
        <f>(H15+T15+AF15)/AT15</f>
        <v>0.85684210526315785</v>
      </c>
      <c r="AO15" s="171">
        <f>AP15/AQ15</f>
        <v>0.14541003702038702</v>
      </c>
      <c r="AP15" s="63">
        <f>AF15+AC15+Z15+T15+Q15+N15+H15+E15+B15</f>
        <v>118385</v>
      </c>
      <c r="AQ15" s="3">
        <f>AH15+AF15+AE15+AC15+Z15+AB15+V15+T15+S15+Q15+P15+J15+H15+G15+E15+D15+B15</f>
        <v>814146</v>
      </c>
      <c r="AR15" s="116">
        <f>+D15+P15+AB15</f>
        <v>782667</v>
      </c>
      <c r="AS15" s="3">
        <f>G15+S15+AE15</f>
        <v>13019</v>
      </c>
      <c r="AT15" s="26">
        <f>J15+V15+AH15</f>
        <v>475</v>
      </c>
    </row>
    <row r="16" spans="1:46" ht="15.75" customHeight="1" x14ac:dyDescent="0.15">
      <c r="A16" s="146">
        <v>43282</v>
      </c>
      <c r="B16" s="3">
        <v>11836</v>
      </c>
      <c r="C16" s="115">
        <v>9.3143311324986419E-2</v>
      </c>
      <c r="D16" s="3">
        <v>127073</v>
      </c>
      <c r="E16" s="178">
        <v>803</v>
      </c>
      <c r="F16" s="115">
        <v>0.43148844707146694</v>
      </c>
      <c r="G16" s="3">
        <v>1861</v>
      </c>
      <c r="H16" s="178">
        <v>30</v>
      </c>
      <c r="I16" s="115">
        <v>0.63829787234042556</v>
      </c>
      <c r="J16" s="3">
        <v>47</v>
      </c>
      <c r="K16" s="195">
        <v>12669</v>
      </c>
      <c r="L16" s="115">
        <v>9.8223769392391122E-2</v>
      </c>
      <c r="M16" s="23">
        <v>128981</v>
      </c>
      <c r="N16" s="3">
        <v>100682</v>
      </c>
      <c r="O16" s="67">
        <v>0.16324445972151061</v>
      </c>
      <c r="P16" s="174">
        <v>616756</v>
      </c>
      <c r="Q16" s="68">
        <v>4701</v>
      </c>
      <c r="R16" s="67">
        <v>0.43112619222303744</v>
      </c>
      <c r="S16" s="40">
        <v>10904</v>
      </c>
      <c r="T16" s="68">
        <v>303</v>
      </c>
      <c r="U16" s="67">
        <v>0.86324786324786329</v>
      </c>
      <c r="V16" s="40">
        <v>351</v>
      </c>
      <c r="W16" s="63">
        <v>105686</v>
      </c>
      <c r="X16" s="67">
        <v>0.16828686121739905</v>
      </c>
      <c r="Y16" s="26">
        <v>628011</v>
      </c>
      <c r="Z16" s="3">
        <v>373</v>
      </c>
      <c r="AA16" s="115">
        <v>1.0069922518290543E-2</v>
      </c>
      <c r="AB16" s="40">
        <v>37041</v>
      </c>
      <c r="AC16" s="3">
        <v>72</v>
      </c>
      <c r="AD16" s="115">
        <v>0.38918918918918921</v>
      </c>
      <c r="AE16" s="40">
        <v>185</v>
      </c>
      <c r="AF16" s="3">
        <v>13</v>
      </c>
      <c r="AG16" s="7">
        <v>0.8125</v>
      </c>
      <c r="AH16" s="3">
        <v>16</v>
      </c>
      <c r="AI16" s="41">
        <v>458</v>
      </c>
      <c r="AJ16" s="7">
        <v>1.2297943182428441E-2</v>
      </c>
      <c r="AK16" s="44">
        <v>37242</v>
      </c>
      <c r="AL16" s="117">
        <f>(B16+N16+Z16)/AR16</f>
        <v>0.14457079923674876</v>
      </c>
      <c r="AM16" s="115">
        <f>(E16+Q16+AC16)/AS16</f>
        <v>0.43057915057915058</v>
      </c>
      <c r="AN16" s="7">
        <f>(H16+T16+AF16)/AT16</f>
        <v>0.83574879227053145</v>
      </c>
      <c r="AO16" s="171">
        <f>AP16/AQ16</f>
        <v>0.1462556855600623</v>
      </c>
      <c r="AP16" s="63">
        <f>AF16+AC16+Z16+T16+Q16+N16+H16+E16+B16</f>
        <v>118813</v>
      </c>
      <c r="AQ16" s="3">
        <f>AH16+AF16+AE16+AC16+Z16+AB16+V16+T16+S16+Q16+P16+J16+H16+G16+E16+D16+B16</f>
        <v>812365</v>
      </c>
      <c r="AR16" s="116">
        <f>+D16+P16+AB16</f>
        <v>780870</v>
      </c>
      <c r="AS16" s="3">
        <f>G16+S16+AE16</f>
        <v>12950</v>
      </c>
      <c r="AT16" s="26">
        <f>J16+V16+AH16</f>
        <v>414</v>
      </c>
    </row>
    <row r="17" spans="1:46" ht="15.75" customHeight="1" x14ac:dyDescent="0.15">
      <c r="A17" s="146">
        <v>43252</v>
      </c>
      <c r="B17" s="3">
        <v>11654</v>
      </c>
      <c r="C17" s="115">
        <v>9.1738497264533397E-2</v>
      </c>
      <c r="D17" s="3">
        <v>127035</v>
      </c>
      <c r="E17" s="178">
        <v>810</v>
      </c>
      <c r="F17" s="115">
        <v>0.43454935622317598</v>
      </c>
      <c r="G17" s="3">
        <v>1864</v>
      </c>
      <c r="H17" s="178">
        <v>30</v>
      </c>
      <c r="I17" s="115">
        <v>0.63829787234042556</v>
      </c>
      <c r="J17" s="3">
        <v>47</v>
      </c>
      <c r="K17" s="195">
        <v>12494</v>
      </c>
      <c r="L17" s="115">
        <v>9.6893273153102852E-2</v>
      </c>
      <c r="M17" s="23">
        <v>128946</v>
      </c>
      <c r="N17" s="3">
        <v>100272</v>
      </c>
      <c r="O17" s="67">
        <v>0.15149871499863266</v>
      </c>
      <c r="P17" s="174">
        <v>661867</v>
      </c>
      <c r="Q17" s="68">
        <v>4639</v>
      </c>
      <c r="R17" s="67">
        <v>0.43065354623096919</v>
      </c>
      <c r="S17" s="40">
        <v>10772</v>
      </c>
      <c r="T17" s="68">
        <v>307</v>
      </c>
      <c r="U17" s="67">
        <v>0.86478873239436616</v>
      </c>
      <c r="V17" s="40">
        <v>355</v>
      </c>
      <c r="W17" s="63">
        <v>105218</v>
      </c>
      <c r="X17" s="67">
        <v>0.15634314719001952</v>
      </c>
      <c r="Y17" s="26">
        <v>672994</v>
      </c>
      <c r="Z17" s="3">
        <v>417</v>
      </c>
      <c r="AA17" s="115">
        <v>1.1246257989697672E-2</v>
      </c>
      <c r="AB17" s="40">
        <v>37079</v>
      </c>
      <c r="AC17" s="3">
        <v>72</v>
      </c>
      <c r="AD17" s="115">
        <v>0.38918918918918921</v>
      </c>
      <c r="AE17" s="40">
        <v>185</v>
      </c>
      <c r="AF17" s="3">
        <v>13</v>
      </c>
      <c r="AG17" s="7">
        <v>0.8125</v>
      </c>
      <c r="AH17" s="3">
        <v>16</v>
      </c>
      <c r="AI17" s="41">
        <v>502</v>
      </c>
      <c r="AJ17" s="7">
        <v>1.3465665236051503E-2</v>
      </c>
      <c r="AK17" s="44">
        <v>37280</v>
      </c>
      <c r="AL17" s="117">
        <f t="shared" ref="AL17:AL24" si="9">(B17+N17+Z17)/AR17</f>
        <v>0.13601160317247007</v>
      </c>
      <c r="AM17" s="115">
        <f t="shared" ref="AM17:AM24" si="10">(E17+Q17+AC17)/AS17</f>
        <v>0.43062163637781764</v>
      </c>
      <c r="AN17" s="7">
        <f t="shared" ref="AN17:AN24" si="11">(H17+T17+AF17)/AT17</f>
        <v>0.83732057416267947</v>
      </c>
      <c r="AO17" s="171">
        <f t="shared" ref="AO17:AO24" si="12">AP17/AQ17</f>
        <v>0.13791325327067697</v>
      </c>
      <c r="AP17" s="63">
        <f t="shared" ref="AP17:AP24" si="13">AF17+AC17+Z17+T17+Q17+N17+H17+E17+B17</f>
        <v>118214</v>
      </c>
      <c r="AQ17" s="3">
        <f t="shared" ref="AQ17:AQ24" si="14">AH17+AF17+AE17+AC17+Z17+AB17+V17+T17+S17+Q17+P17+J17+H17+G17+E17+D17+B17</f>
        <v>857162</v>
      </c>
      <c r="AR17" s="116">
        <f t="shared" ref="AR17:AR24" si="15">+D17+P17+AB17</f>
        <v>825981</v>
      </c>
      <c r="AS17" s="3">
        <f t="shared" ref="AS17:AS24" si="16">G17+S17+AE17</f>
        <v>12821</v>
      </c>
      <c r="AT17" s="26">
        <f t="shared" ref="AT17:AT24" si="17">J17+V17+AH17</f>
        <v>418</v>
      </c>
    </row>
    <row r="18" spans="1:46" ht="15.75" customHeight="1" x14ac:dyDescent="0.15">
      <c r="A18" s="146">
        <v>43221</v>
      </c>
      <c r="B18" s="3">
        <v>10252</v>
      </c>
      <c r="C18" s="115">
        <v>8.0904693135096323E-2</v>
      </c>
      <c r="D18" s="3">
        <v>126717</v>
      </c>
      <c r="E18" s="178">
        <v>810</v>
      </c>
      <c r="F18" s="115">
        <v>0.43618739903069464</v>
      </c>
      <c r="G18" s="3">
        <v>1857</v>
      </c>
      <c r="H18" s="178">
        <v>29</v>
      </c>
      <c r="I18" s="115">
        <v>0.63043478260869568</v>
      </c>
      <c r="J18" s="3">
        <v>46</v>
      </c>
      <c r="K18" s="195">
        <v>11091</v>
      </c>
      <c r="L18" s="115">
        <v>8.6230757269475974E-2</v>
      </c>
      <c r="M18" s="23">
        <v>128620</v>
      </c>
      <c r="N18" s="3">
        <v>100344</v>
      </c>
      <c r="O18" s="67">
        <v>0.16295853606251745</v>
      </c>
      <c r="P18" s="174">
        <v>615764</v>
      </c>
      <c r="Q18" s="68">
        <v>4750</v>
      </c>
      <c r="R18" s="67">
        <v>0.43162199000454338</v>
      </c>
      <c r="S18" s="40">
        <v>11005</v>
      </c>
      <c r="T18" s="68">
        <v>322</v>
      </c>
      <c r="U18" s="67">
        <v>0.86792452830188682</v>
      </c>
      <c r="V18" s="40">
        <v>371</v>
      </c>
      <c r="W18" s="63">
        <v>105416</v>
      </c>
      <c r="X18" s="67">
        <v>0.168090059635807</v>
      </c>
      <c r="Y18" s="26">
        <v>627140</v>
      </c>
      <c r="Z18" s="3">
        <v>415</v>
      </c>
      <c r="AA18" s="115">
        <v>1.1183572275520104E-2</v>
      </c>
      <c r="AB18" s="40">
        <v>37108</v>
      </c>
      <c r="AC18" s="3">
        <v>68</v>
      </c>
      <c r="AD18" s="115">
        <v>0.36559139784946237</v>
      </c>
      <c r="AE18" s="40">
        <v>186</v>
      </c>
      <c r="AF18" s="3">
        <v>13</v>
      </c>
      <c r="AG18" s="7">
        <v>0.8125</v>
      </c>
      <c r="AH18" s="3">
        <v>16</v>
      </c>
      <c r="AI18" s="41">
        <v>496</v>
      </c>
      <c r="AJ18" s="7">
        <v>1.3294023050120611E-2</v>
      </c>
      <c r="AK18" s="44">
        <v>37310</v>
      </c>
      <c r="AL18" s="117">
        <f t="shared" si="9"/>
        <v>0.14239682704604606</v>
      </c>
      <c r="AM18" s="115">
        <f t="shared" si="10"/>
        <v>0.43133047210300429</v>
      </c>
      <c r="AN18" s="7">
        <f t="shared" si="11"/>
        <v>0.84064665127020788</v>
      </c>
      <c r="AO18" s="171">
        <f t="shared" si="12"/>
        <v>0.14449649203622447</v>
      </c>
      <c r="AP18" s="63">
        <f t="shared" si="13"/>
        <v>117003</v>
      </c>
      <c r="AQ18" s="3">
        <f t="shared" si="14"/>
        <v>809729</v>
      </c>
      <c r="AR18" s="116">
        <f t="shared" si="15"/>
        <v>779589</v>
      </c>
      <c r="AS18" s="3">
        <f t="shared" si="16"/>
        <v>13048</v>
      </c>
      <c r="AT18" s="26">
        <f t="shared" si="17"/>
        <v>433</v>
      </c>
    </row>
    <row r="19" spans="1:46" ht="15.75" customHeight="1" x14ac:dyDescent="0.15">
      <c r="A19" s="146">
        <v>43191</v>
      </c>
      <c r="B19" s="3">
        <v>10129</v>
      </c>
      <c r="C19" s="115">
        <v>8.0439961880559088E-2</v>
      </c>
      <c r="D19" s="3">
        <v>125920</v>
      </c>
      <c r="E19" s="178">
        <v>816</v>
      </c>
      <c r="F19" s="115">
        <v>0.44131963223363979</v>
      </c>
      <c r="G19" s="3">
        <v>1849</v>
      </c>
      <c r="H19" s="178">
        <v>29</v>
      </c>
      <c r="I19" s="115">
        <v>0.63043478260869568</v>
      </c>
      <c r="J19" s="3">
        <v>46</v>
      </c>
      <c r="K19" s="195">
        <v>10974</v>
      </c>
      <c r="L19" s="115">
        <v>8.5858467316042714E-2</v>
      </c>
      <c r="M19" s="23">
        <v>127815</v>
      </c>
      <c r="N19" s="3">
        <v>99058</v>
      </c>
      <c r="O19" s="67">
        <v>0.16163867657905215</v>
      </c>
      <c r="P19" s="174">
        <v>612836</v>
      </c>
      <c r="Q19" s="68">
        <v>4845</v>
      </c>
      <c r="R19" s="67">
        <v>0.43901776005799203</v>
      </c>
      <c r="S19" s="40">
        <v>11036</v>
      </c>
      <c r="T19" s="68">
        <v>330</v>
      </c>
      <c r="U19" s="67">
        <v>0.88</v>
      </c>
      <c r="V19" s="40">
        <v>375</v>
      </c>
      <c r="W19" s="63">
        <v>104233</v>
      </c>
      <c r="X19" s="67">
        <v>0.16697397023934435</v>
      </c>
      <c r="Y19" s="26">
        <v>624247</v>
      </c>
      <c r="Z19" s="3">
        <v>415</v>
      </c>
      <c r="AA19" s="115">
        <v>1.1207734687263693E-2</v>
      </c>
      <c r="AB19" s="40">
        <v>37028</v>
      </c>
      <c r="AC19" s="3">
        <v>68</v>
      </c>
      <c r="AD19" s="115">
        <v>0.36559139784946237</v>
      </c>
      <c r="AE19" s="40">
        <v>186</v>
      </c>
      <c r="AF19" s="3">
        <v>13</v>
      </c>
      <c r="AG19" s="7">
        <v>0.8666666666666667</v>
      </c>
      <c r="AH19" s="3">
        <v>15</v>
      </c>
      <c r="AI19" s="41">
        <v>496</v>
      </c>
      <c r="AJ19" s="7">
        <v>1.332294716484461E-2</v>
      </c>
      <c r="AK19" s="44">
        <v>37229</v>
      </c>
      <c r="AL19" s="117">
        <f t="shared" si="9"/>
        <v>0.14127901580852403</v>
      </c>
      <c r="AM19" s="115">
        <f t="shared" si="10"/>
        <v>0.43829852344885623</v>
      </c>
      <c r="AN19" s="7">
        <f t="shared" si="11"/>
        <v>0.85321100917431192</v>
      </c>
      <c r="AO19" s="171">
        <f t="shared" si="12"/>
        <v>0.14356350876496396</v>
      </c>
      <c r="AP19" s="63">
        <f t="shared" si="13"/>
        <v>115703</v>
      </c>
      <c r="AQ19" s="3">
        <f t="shared" si="14"/>
        <v>805936</v>
      </c>
      <c r="AR19" s="116">
        <f t="shared" si="15"/>
        <v>775784</v>
      </c>
      <c r="AS19" s="3">
        <f t="shared" si="16"/>
        <v>13071</v>
      </c>
      <c r="AT19" s="26">
        <f t="shared" si="17"/>
        <v>436</v>
      </c>
    </row>
    <row r="20" spans="1:46" ht="15.75" customHeight="1" x14ac:dyDescent="0.15">
      <c r="A20" s="146">
        <v>43160</v>
      </c>
      <c r="B20" s="3">
        <v>10881</v>
      </c>
      <c r="C20" s="115">
        <v>8.6725381580520469E-2</v>
      </c>
      <c r="D20" s="3">
        <v>125465</v>
      </c>
      <c r="E20" s="178">
        <v>827</v>
      </c>
      <c r="F20" s="115">
        <v>0.45265462506841819</v>
      </c>
      <c r="G20" s="3">
        <v>1827</v>
      </c>
      <c r="H20" s="178">
        <v>29</v>
      </c>
      <c r="I20" s="115">
        <v>0.65909090909090906</v>
      </c>
      <c r="J20" s="3">
        <v>44</v>
      </c>
      <c r="K20" s="195">
        <v>11737</v>
      </c>
      <c r="L20" s="115">
        <v>9.2173462335867318E-2</v>
      </c>
      <c r="M20" s="23">
        <v>127336</v>
      </c>
      <c r="N20" s="3">
        <v>102134</v>
      </c>
      <c r="O20" s="67">
        <v>0.16556193699717781</v>
      </c>
      <c r="P20" s="174">
        <v>616893</v>
      </c>
      <c r="Q20" s="68">
        <v>4957</v>
      </c>
      <c r="R20" s="67">
        <v>0.43878905904222359</v>
      </c>
      <c r="S20" s="40">
        <v>11297</v>
      </c>
      <c r="T20" s="68">
        <v>334</v>
      </c>
      <c r="U20" s="67">
        <v>0.86528497409326421</v>
      </c>
      <c r="V20" s="40">
        <v>386</v>
      </c>
      <c r="W20" s="63">
        <v>107425</v>
      </c>
      <c r="X20" s="67">
        <v>0.17090216616606424</v>
      </c>
      <c r="Y20" s="26">
        <v>628576</v>
      </c>
      <c r="Z20" s="3">
        <v>415</v>
      </c>
      <c r="AA20" s="115">
        <v>1.1203801193272319E-2</v>
      </c>
      <c r="AB20" s="40">
        <v>37041</v>
      </c>
      <c r="AC20" s="3">
        <v>68</v>
      </c>
      <c r="AD20" s="115">
        <v>0.36363636363636365</v>
      </c>
      <c r="AE20" s="40">
        <v>187</v>
      </c>
      <c r="AF20" s="3">
        <v>13</v>
      </c>
      <c r="AG20" s="7">
        <v>0.8666666666666667</v>
      </c>
      <c r="AH20" s="3">
        <v>15</v>
      </c>
      <c r="AI20" s="41">
        <v>496</v>
      </c>
      <c r="AJ20" s="7">
        <v>1.3317938941546063E-2</v>
      </c>
      <c r="AK20" s="44">
        <v>37243</v>
      </c>
      <c r="AL20" s="117">
        <f t="shared" si="9"/>
        <v>0.14553521367104655</v>
      </c>
      <c r="AM20" s="115">
        <f t="shared" si="10"/>
        <v>0.43963639095484935</v>
      </c>
      <c r="AN20" s="7">
        <f t="shared" si="11"/>
        <v>0.84494382022471914</v>
      </c>
      <c r="AO20" s="171">
        <f t="shared" si="12"/>
        <v>0.14760219519686585</v>
      </c>
      <c r="AP20" s="63">
        <f t="shared" si="13"/>
        <v>119658</v>
      </c>
      <c r="AQ20" s="3">
        <f t="shared" si="14"/>
        <v>810679</v>
      </c>
      <c r="AR20" s="116">
        <f t="shared" si="15"/>
        <v>779399</v>
      </c>
      <c r="AS20" s="3">
        <f t="shared" si="16"/>
        <v>13311</v>
      </c>
      <c r="AT20" s="26">
        <f t="shared" si="17"/>
        <v>445</v>
      </c>
    </row>
    <row r="21" spans="1:46" ht="15.75" customHeight="1" x14ac:dyDescent="0.15">
      <c r="A21" s="146">
        <v>43132</v>
      </c>
      <c r="B21" s="3">
        <v>11011</v>
      </c>
      <c r="C21" s="115">
        <v>8.7804916947760422E-2</v>
      </c>
      <c r="D21" s="3">
        <v>125403</v>
      </c>
      <c r="E21" s="178">
        <v>830</v>
      </c>
      <c r="F21" s="115">
        <v>0.45479452054794522</v>
      </c>
      <c r="G21" s="3">
        <v>1825</v>
      </c>
      <c r="H21" s="178">
        <v>29</v>
      </c>
      <c r="I21" s="115">
        <v>0.65909090909090906</v>
      </c>
      <c r="J21" s="3">
        <v>44</v>
      </c>
      <c r="K21" s="195">
        <v>11870</v>
      </c>
      <c r="L21" s="115">
        <v>9.3264818656106613E-2</v>
      </c>
      <c r="M21" s="23">
        <v>127272</v>
      </c>
      <c r="N21" s="3">
        <v>97378</v>
      </c>
      <c r="O21" s="67">
        <v>0.16626485452806994</v>
      </c>
      <c r="P21" s="174">
        <v>585680</v>
      </c>
      <c r="Q21" s="68">
        <v>4605</v>
      </c>
      <c r="R21" s="67">
        <v>0.43439298179417035</v>
      </c>
      <c r="S21" s="40">
        <v>10601</v>
      </c>
      <c r="T21" s="68">
        <v>285</v>
      </c>
      <c r="U21" s="67">
        <v>0.85843373493975905</v>
      </c>
      <c r="V21" s="40">
        <v>332</v>
      </c>
      <c r="W21" s="63">
        <v>102268</v>
      </c>
      <c r="X21" s="67">
        <v>0.17141430039238167</v>
      </c>
      <c r="Y21" s="26">
        <v>596613</v>
      </c>
      <c r="Z21" s="3">
        <v>415</v>
      </c>
      <c r="AA21" s="115">
        <v>1.1198359372891875E-2</v>
      </c>
      <c r="AB21" s="40">
        <v>37059</v>
      </c>
      <c r="AC21" s="3">
        <v>68</v>
      </c>
      <c r="AD21" s="115">
        <v>0.36363636363636365</v>
      </c>
      <c r="AE21" s="40">
        <v>187</v>
      </c>
      <c r="AF21" s="3">
        <v>13</v>
      </c>
      <c r="AG21" s="7">
        <v>0.8666666666666667</v>
      </c>
      <c r="AH21" s="3">
        <v>15</v>
      </c>
      <c r="AI21" s="41">
        <v>496</v>
      </c>
      <c r="AJ21" s="7">
        <v>1.3311505327285903E-2</v>
      </c>
      <c r="AK21" s="44">
        <v>37261</v>
      </c>
      <c r="AL21" s="117">
        <f t="shared" si="9"/>
        <v>0.1454322842455042</v>
      </c>
      <c r="AM21" s="115">
        <f t="shared" si="10"/>
        <v>0.43629588519781176</v>
      </c>
      <c r="AN21" s="7">
        <f t="shared" si="11"/>
        <v>0.83631713554987208</v>
      </c>
      <c r="AO21" s="171">
        <f t="shared" si="12"/>
        <v>0.14726837803602766</v>
      </c>
      <c r="AP21" s="63">
        <f t="shared" si="13"/>
        <v>114634</v>
      </c>
      <c r="AQ21" s="3">
        <f t="shared" si="14"/>
        <v>778402</v>
      </c>
      <c r="AR21" s="116">
        <f t="shared" si="15"/>
        <v>748142</v>
      </c>
      <c r="AS21" s="3">
        <f t="shared" si="16"/>
        <v>12613</v>
      </c>
      <c r="AT21" s="26">
        <f t="shared" si="17"/>
        <v>391</v>
      </c>
    </row>
    <row r="22" spans="1:46" ht="15.75" customHeight="1" x14ac:dyDescent="0.15">
      <c r="A22" s="146">
        <v>43101</v>
      </c>
      <c r="B22" s="3">
        <v>11150</v>
      </c>
      <c r="C22" s="115">
        <v>8.8910507387944857E-2</v>
      </c>
      <c r="D22" s="3">
        <v>125407</v>
      </c>
      <c r="E22" s="178">
        <v>829</v>
      </c>
      <c r="F22" s="115">
        <v>0.45374931581828132</v>
      </c>
      <c r="G22" s="3">
        <v>1827</v>
      </c>
      <c r="H22" s="178">
        <v>30</v>
      </c>
      <c r="I22" s="115">
        <v>0.625</v>
      </c>
      <c r="J22" s="3">
        <v>48</v>
      </c>
      <c r="K22" s="195">
        <v>12009</v>
      </c>
      <c r="L22" s="115">
        <v>9.4349554532455499E-2</v>
      </c>
      <c r="M22" s="23">
        <v>127282</v>
      </c>
      <c r="N22" s="3">
        <v>117740</v>
      </c>
      <c r="O22" s="67">
        <v>0.18701861449926377</v>
      </c>
      <c r="P22" s="174">
        <v>629563</v>
      </c>
      <c r="Q22" s="68">
        <v>4815</v>
      </c>
      <c r="R22" s="67">
        <v>0.43413578577224776</v>
      </c>
      <c r="S22" s="40">
        <v>11091</v>
      </c>
      <c r="T22" s="68">
        <v>300</v>
      </c>
      <c r="U22" s="67">
        <v>0.85470085470085466</v>
      </c>
      <c r="V22" s="40">
        <v>351</v>
      </c>
      <c r="W22" s="63">
        <v>122855</v>
      </c>
      <c r="X22" s="67">
        <v>0.19165997145108071</v>
      </c>
      <c r="Y22" s="26">
        <v>641005</v>
      </c>
      <c r="Z22" s="3">
        <v>416</v>
      </c>
      <c r="AA22" s="115">
        <v>1.1226858098990662E-2</v>
      </c>
      <c r="AB22" s="40">
        <v>37054</v>
      </c>
      <c r="AC22" s="3">
        <v>72</v>
      </c>
      <c r="AD22" s="115">
        <v>0.38502673796791442</v>
      </c>
      <c r="AE22" s="40">
        <v>187</v>
      </c>
      <c r="AF22" s="3">
        <v>13</v>
      </c>
      <c r="AG22" s="7">
        <v>0.8666666666666667</v>
      </c>
      <c r="AH22" s="3">
        <v>15</v>
      </c>
      <c r="AI22" s="41">
        <v>501</v>
      </c>
      <c r="AJ22" s="7">
        <v>1.344749838952115E-2</v>
      </c>
      <c r="AK22" s="44">
        <v>37256</v>
      </c>
      <c r="AL22" s="117">
        <f t="shared" si="9"/>
        <v>0.16326020423623527</v>
      </c>
      <c r="AM22" s="115">
        <f t="shared" si="10"/>
        <v>0.43616940099198781</v>
      </c>
      <c r="AN22" s="7">
        <f t="shared" si="11"/>
        <v>0.82850241545893721</v>
      </c>
      <c r="AO22" s="171">
        <f t="shared" si="12"/>
        <v>0.16444395311771109</v>
      </c>
      <c r="AP22" s="63">
        <f t="shared" si="13"/>
        <v>135365</v>
      </c>
      <c r="AQ22" s="3">
        <f t="shared" si="14"/>
        <v>823168</v>
      </c>
      <c r="AR22" s="116">
        <f t="shared" si="15"/>
        <v>792024</v>
      </c>
      <c r="AS22" s="3">
        <f t="shared" si="16"/>
        <v>13105</v>
      </c>
      <c r="AT22" s="26">
        <f t="shared" si="17"/>
        <v>414</v>
      </c>
    </row>
    <row r="23" spans="1:46" x14ac:dyDescent="0.15">
      <c r="A23" s="146">
        <v>43070</v>
      </c>
      <c r="B23" s="3">
        <v>11188</v>
      </c>
      <c r="C23" s="115">
        <v>8.9229885790850505E-2</v>
      </c>
      <c r="D23" s="3">
        <v>125384</v>
      </c>
      <c r="E23" s="178">
        <v>832</v>
      </c>
      <c r="F23" s="115">
        <v>0.45439650464227199</v>
      </c>
      <c r="G23" s="3">
        <v>1831</v>
      </c>
      <c r="H23" s="178">
        <v>35</v>
      </c>
      <c r="I23" s="115">
        <v>0.72916666666666663</v>
      </c>
      <c r="J23" s="3">
        <v>48</v>
      </c>
      <c r="K23" s="195">
        <v>12055</v>
      </c>
      <c r="L23" s="115">
        <v>9.4725096846687562E-2</v>
      </c>
      <c r="M23" s="23">
        <v>127263</v>
      </c>
      <c r="N23" s="3">
        <v>101870</v>
      </c>
      <c r="O23" s="67">
        <v>0.16876707426778417</v>
      </c>
      <c r="P23" s="174">
        <v>603613</v>
      </c>
      <c r="Q23" s="68">
        <v>3692</v>
      </c>
      <c r="R23" s="67">
        <v>0.37742792884890614</v>
      </c>
      <c r="S23" s="40">
        <v>9782</v>
      </c>
      <c r="T23" s="68">
        <v>284</v>
      </c>
      <c r="U23" s="67">
        <v>0.86322188449848025</v>
      </c>
      <c r="V23" s="40">
        <v>329</v>
      </c>
      <c r="W23" s="63">
        <v>105846</v>
      </c>
      <c r="X23" s="67">
        <v>0.17246514719971845</v>
      </c>
      <c r="Y23" s="26">
        <v>613724</v>
      </c>
      <c r="Z23" s="3">
        <v>419</v>
      </c>
      <c r="AA23" s="115">
        <v>1.1301720882559206E-2</v>
      </c>
      <c r="AB23" s="40">
        <v>37074</v>
      </c>
      <c r="AC23" s="3">
        <v>72</v>
      </c>
      <c r="AD23" s="115">
        <v>0.38709677419354838</v>
      </c>
      <c r="AE23" s="40">
        <v>186</v>
      </c>
      <c r="AF23" s="3">
        <v>13</v>
      </c>
      <c r="AG23" s="7">
        <v>0.9285714285714286</v>
      </c>
      <c r="AH23" s="3">
        <v>14</v>
      </c>
      <c r="AI23" s="41">
        <v>504</v>
      </c>
      <c r="AJ23" s="7">
        <v>1.3521489510114289E-2</v>
      </c>
      <c r="AK23" s="44">
        <v>37274</v>
      </c>
      <c r="AL23" s="117">
        <f t="shared" si="9"/>
        <v>0.14812856771761365</v>
      </c>
      <c r="AM23" s="115">
        <f t="shared" si="10"/>
        <v>0.38952453597762521</v>
      </c>
      <c r="AN23" s="7">
        <f t="shared" si="11"/>
        <v>0.84910485933503832</v>
      </c>
      <c r="AO23" s="171">
        <f t="shared" si="12"/>
        <v>0.14897533455125592</v>
      </c>
      <c r="AP23" s="63">
        <f t="shared" si="13"/>
        <v>118405</v>
      </c>
      <c r="AQ23" s="3">
        <f t="shared" si="14"/>
        <v>794796</v>
      </c>
      <c r="AR23" s="116">
        <f t="shared" si="15"/>
        <v>766071</v>
      </c>
      <c r="AS23" s="3">
        <f t="shared" si="16"/>
        <v>11799</v>
      </c>
      <c r="AT23" s="26">
        <f t="shared" si="17"/>
        <v>391</v>
      </c>
    </row>
    <row r="24" spans="1:46" x14ac:dyDescent="0.15">
      <c r="A24" s="146">
        <v>43040</v>
      </c>
      <c r="B24" s="3">
        <v>11200</v>
      </c>
      <c r="C24" s="115">
        <v>8.9252984396665763E-2</v>
      </c>
      <c r="D24" s="3">
        <v>125486</v>
      </c>
      <c r="E24" s="178">
        <v>836</v>
      </c>
      <c r="F24" s="115">
        <v>0.45583424209378409</v>
      </c>
      <c r="G24" s="3">
        <v>1834</v>
      </c>
      <c r="H24" s="178">
        <v>35</v>
      </c>
      <c r="I24" s="115">
        <v>0.74468085106382975</v>
      </c>
      <c r="J24" s="3">
        <v>47</v>
      </c>
      <c r="K24" s="195">
        <v>12071</v>
      </c>
      <c r="L24" s="115">
        <v>9.4773371438441667E-2</v>
      </c>
      <c r="M24" s="23">
        <v>127367</v>
      </c>
      <c r="N24" s="3">
        <v>105884</v>
      </c>
      <c r="O24" s="67">
        <v>0.17318767450190797</v>
      </c>
      <c r="P24" s="174">
        <v>611383</v>
      </c>
      <c r="Q24" s="68">
        <v>4690</v>
      </c>
      <c r="R24" s="67">
        <v>0.45322767684576731</v>
      </c>
      <c r="S24" s="40">
        <v>10348</v>
      </c>
      <c r="T24" s="68">
        <v>256</v>
      </c>
      <c r="U24" s="67">
        <v>0.89198606271777003</v>
      </c>
      <c r="V24" s="40">
        <v>287</v>
      </c>
      <c r="W24" s="63">
        <v>110830</v>
      </c>
      <c r="X24" s="67">
        <v>0.17817812346266507</v>
      </c>
      <c r="Y24" s="26">
        <v>622018</v>
      </c>
      <c r="Z24" s="3">
        <v>414</v>
      </c>
      <c r="AA24" s="115">
        <v>1.1162640207075065E-2</v>
      </c>
      <c r="AB24" s="40">
        <v>37088</v>
      </c>
      <c r="AC24" s="3">
        <v>72</v>
      </c>
      <c r="AD24" s="115">
        <v>0.38502673796791442</v>
      </c>
      <c r="AE24" s="40">
        <v>187</v>
      </c>
      <c r="AF24" s="3">
        <v>13</v>
      </c>
      <c r="AG24" s="7">
        <v>0.9285714285714286</v>
      </c>
      <c r="AH24" s="3">
        <v>14</v>
      </c>
      <c r="AI24" s="41">
        <v>499</v>
      </c>
      <c r="AJ24" s="7">
        <v>1.3381962509050927E-2</v>
      </c>
      <c r="AK24" s="44">
        <v>37289</v>
      </c>
      <c r="AL24" s="117">
        <f t="shared" si="9"/>
        <v>0.15181463569681519</v>
      </c>
      <c r="AM24" s="115">
        <f t="shared" si="10"/>
        <v>0.45258307057967501</v>
      </c>
      <c r="AN24" s="7">
        <f t="shared" si="11"/>
        <v>0.87356321839080464</v>
      </c>
      <c r="AO24" s="171">
        <f t="shared" si="12"/>
        <v>0.15344632487347518</v>
      </c>
      <c r="AP24" s="63">
        <f t="shared" si="13"/>
        <v>123400</v>
      </c>
      <c r="AQ24" s="3">
        <f t="shared" si="14"/>
        <v>804190</v>
      </c>
      <c r="AR24" s="116">
        <f t="shared" si="15"/>
        <v>773957</v>
      </c>
      <c r="AS24" s="3">
        <f t="shared" si="16"/>
        <v>12369</v>
      </c>
      <c r="AT24" s="26">
        <f t="shared" si="17"/>
        <v>348</v>
      </c>
    </row>
    <row r="25" spans="1:46" x14ac:dyDescent="0.15">
      <c r="A25" s="146">
        <v>43009</v>
      </c>
      <c r="B25" s="3">
        <v>11378</v>
      </c>
      <c r="C25" s="115">
        <v>9.054591755530797E-2</v>
      </c>
      <c r="D25" s="3">
        <v>125660</v>
      </c>
      <c r="E25" s="178">
        <v>842</v>
      </c>
      <c r="F25" s="115">
        <v>0.45293168370091447</v>
      </c>
      <c r="G25" s="3">
        <v>1859</v>
      </c>
      <c r="H25" s="178">
        <v>31</v>
      </c>
      <c r="I25" s="115">
        <v>0.64583333333333337</v>
      </c>
      <c r="J25" s="3">
        <v>48</v>
      </c>
      <c r="K25" s="195">
        <v>12251</v>
      </c>
      <c r="L25" s="115">
        <v>9.603580863389434E-2</v>
      </c>
      <c r="M25" s="23">
        <v>127567</v>
      </c>
      <c r="N25" s="3">
        <v>106774</v>
      </c>
      <c r="O25" s="67">
        <v>0.17249462438549981</v>
      </c>
      <c r="P25" s="174">
        <v>618999</v>
      </c>
      <c r="Q25" s="68">
        <v>5345</v>
      </c>
      <c r="R25" s="67">
        <v>0.46161153812937211</v>
      </c>
      <c r="S25" s="40">
        <v>11579</v>
      </c>
      <c r="T25" s="68">
        <v>365</v>
      </c>
      <c r="U25" s="67">
        <v>0.87951807228915657</v>
      </c>
      <c r="V25" s="40">
        <v>415</v>
      </c>
      <c r="W25" s="63">
        <v>112484</v>
      </c>
      <c r="X25" s="67">
        <v>0.17826505206872342</v>
      </c>
      <c r="Y25" s="26">
        <v>630993</v>
      </c>
      <c r="Z25" s="3">
        <v>412</v>
      </c>
      <c r="AA25" s="115">
        <v>1.1100035024382358E-2</v>
      </c>
      <c r="AB25" s="40">
        <v>37117</v>
      </c>
      <c r="AC25" s="3">
        <v>72</v>
      </c>
      <c r="AD25" s="115">
        <v>0.38502673796791442</v>
      </c>
      <c r="AE25" s="40">
        <v>187</v>
      </c>
      <c r="AF25" s="3">
        <v>13</v>
      </c>
      <c r="AG25" s="7">
        <v>0.9285714285714286</v>
      </c>
      <c r="AH25" s="3">
        <v>14</v>
      </c>
      <c r="AI25" s="41">
        <v>497</v>
      </c>
      <c r="AJ25" s="7">
        <v>1.3317969880486629E-2</v>
      </c>
      <c r="AK25" s="44">
        <v>37318</v>
      </c>
      <c r="AL25" s="117">
        <f t="shared" ref="AL25:AL30" si="18">(B25+N25+Z25)/AR25</f>
        <v>0.15165981048279814</v>
      </c>
      <c r="AM25" s="115">
        <f t="shared" ref="AM25:AM30" si="19">(E25+Q25+AC25)/AS25</f>
        <v>0.4593761467889908</v>
      </c>
      <c r="AN25" s="7">
        <f t="shared" ref="AN25:AN30" si="20">(H25+T25+AF25)/AT25</f>
        <v>0.8574423480083857</v>
      </c>
      <c r="AO25" s="171">
        <f t="shared" ref="AO25:AO30" si="21">AP25/AQ25</f>
        <v>0.15378418736246463</v>
      </c>
      <c r="AP25" s="63">
        <f t="shared" ref="AP25:AP30" si="22">AF25+AC25+Z25+T25+Q25+N25+H25+E25+B25</f>
        <v>125232</v>
      </c>
      <c r="AQ25" s="3">
        <f t="shared" ref="AQ25:AQ30" si="23">AH25+AF25+AE25+AC25+Z25+AB25+V25+T25+S25+Q25+P25+J25+H25+G25+E25+D25+B25</f>
        <v>814336</v>
      </c>
      <c r="AR25" s="116">
        <f t="shared" ref="AR25:AR30" si="24">+D25+P25+AB25</f>
        <v>781776</v>
      </c>
      <c r="AS25" s="3">
        <f t="shared" ref="AS25:AS30" si="25">G25+S25+AE25</f>
        <v>13625</v>
      </c>
      <c r="AT25" s="26">
        <f t="shared" ref="AT25:AT30" si="26">J25+V25+AH25</f>
        <v>477</v>
      </c>
    </row>
    <row r="26" spans="1:46" x14ac:dyDescent="0.15">
      <c r="A26" s="146">
        <v>42979</v>
      </c>
      <c r="B26" s="3">
        <v>11518</v>
      </c>
      <c r="C26" s="115">
        <v>9.1321377035662746E-2</v>
      </c>
      <c r="D26" s="3">
        <v>126126</v>
      </c>
      <c r="E26" s="178">
        <v>844</v>
      </c>
      <c r="F26" s="115">
        <v>0.45425188374596343</v>
      </c>
      <c r="G26" s="3">
        <v>1858</v>
      </c>
      <c r="H26" s="178">
        <v>31</v>
      </c>
      <c r="I26" s="115">
        <v>0.64583333333333337</v>
      </c>
      <c r="J26" s="3">
        <v>48</v>
      </c>
      <c r="K26" s="195">
        <v>12393</v>
      </c>
      <c r="L26" s="115">
        <v>9.6796113471632098E-2</v>
      </c>
      <c r="M26" s="23">
        <v>128032</v>
      </c>
      <c r="N26" s="3">
        <v>108114</v>
      </c>
      <c r="O26" s="67">
        <v>0.17476020056834163</v>
      </c>
      <c r="P26" s="174">
        <v>618642</v>
      </c>
      <c r="Q26" s="68">
        <v>5322</v>
      </c>
      <c r="R26" s="67">
        <v>0.46278260869565219</v>
      </c>
      <c r="S26" s="40">
        <v>11500</v>
      </c>
      <c r="T26" s="68">
        <v>358</v>
      </c>
      <c r="U26" s="67">
        <v>0.88395061728395063</v>
      </c>
      <c r="V26" s="40">
        <v>405</v>
      </c>
      <c r="W26" s="63">
        <v>113794</v>
      </c>
      <c r="X26" s="67">
        <v>0.18046870415686697</v>
      </c>
      <c r="Y26" s="26">
        <v>630547</v>
      </c>
      <c r="Z26" s="3">
        <v>414</v>
      </c>
      <c r="AA26" s="115">
        <v>1.1132024737832751E-2</v>
      </c>
      <c r="AB26" s="40">
        <v>37190</v>
      </c>
      <c r="AC26" s="3">
        <v>72</v>
      </c>
      <c r="AD26" s="115">
        <v>0.38502673796791442</v>
      </c>
      <c r="AE26" s="40">
        <v>187</v>
      </c>
      <c r="AF26" s="3">
        <v>13</v>
      </c>
      <c r="AG26" s="7">
        <v>0.9285714285714286</v>
      </c>
      <c r="AH26" s="3">
        <v>14</v>
      </c>
      <c r="AI26" s="41">
        <v>499</v>
      </c>
      <c r="AJ26" s="7">
        <v>1.3345457463025862E-2</v>
      </c>
      <c r="AK26" s="44">
        <v>37391</v>
      </c>
      <c r="AL26" s="117">
        <f t="shared" si="18"/>
        <v>0.15351975425790132</v>
      </c>
      <c r="AM26" s="115">
        <f t="shared" si="19"/>
        <v>0.46053894425987452</v>
      </c>
      <c r="AN26" s="7">
        <f t="shared" si="20"/>
        <v>0.86081370449678796</v>
      </c>
      <c r="AO26" s="171">
        <f t="shared" si="21"/>
        <v>0.15553034711531144</v>
      </c>
      <c r="AP26" s="63">
        <f t="shared" si="22"/>
        <v>126686</v>
      </c>
      <c r="AQ26" s="3">
        <f t="shared" si="23"/>
        <v>814542</v>
      </c>
      <c r="AR26" s="116">
        <f t="shared" si="24"/>
        <v>781958</v>
      </c>
      <c r="AS26" s="3">
        <f t="shared" si="25"/>
        <v>13545</v>
      </c>
      <c r="AT26" s="26">
        <f t="shared" si="26"/>
        <v>467</v>
      </c>
    </row>
    <row r="27" spans="1:46" x14ac:dyDescent="0.15">
      <c r="A27" s="146">
        <v>42948</v>
      </c>
      <c r="B27" s="3">
        <v>11621</v>
      </c>
      <c r="C27" s="115">
        <v>9.2075238487624E-2</v>
      </c>
      <c r="D27" s="3">
        <v>126212</v>
      </c>
      <c r="E27" s="178">
        <v>847</v>
      </c>
      <c r="F27" s="115">
        <v>0.45709660010793307</v>
      </c>
      <c r="G27" s="3">
        <v>1853</v>
      </c>
      <c r="H27" s="178">
        <v>31</v>
      </c>
      <c r="I27" s="115">
        <v>0.64583333333333337</v>
      </c>
      <c r="J27" s="3">
        <v>48</v>
      </c>
      <c r="K27" s="195">
        <v>12499</v>
      </c>
      <c r="L27" s="115">
        <v>9.7562308274726214E-2</v>
      </c>
      <c r="M27" s="23">
        <v>128113</v>
      </c>
      <c r="N27" s="3">
        <v>108114</v>
      </c>
      <c r="O27" s="67">
        <v>0.17476020056834163</v>
      </c>
      <c r="P27" s="174">
        <v>618642</v>
      </c>
      <c r="Q27" s="68">
        <v>5322</v>
      </c>
      <c r="R27" s="67">
        <v>0.46278260869565219</v>
      </c>
      <c r="S27" s="40">
        <v>11500</v>
      </c>
      <c r="T27" s="68">
        <v>358</v>
      </c>
      <c r="U27" s="67">
        <v>0.88395061728395063</v>
      </c>
      <c r="V27" s="40">
        <v>405</v>
      </c>
      <c r="W27" s="63">
        <v>113794</v>
      </c>
      <c r="X27" s="67">
        <v>0.18046870415686697</v>
      </c>
      <c r="Y27" s="26">
        <v>630547</v>
      </c>
      <c r="Z27" s="3">
        <v>414</v>
      </c>
      <c r="AA27" s="115">
        <v>1.1162640207075065E-2</v>
      </c>
      <c r="AB27" s="40">
        <v>37088</v>
      </c>
      <c r="AC27" s="3">
        <v>72</v>
      </c>
      <c r="AD27" s="115">
        <v>0.38502673796791442</v>
      </c>
      <c r="AE27" s="40">
        <v>187</v>
      </c>
      <c r="AF27" s="3">
        <v>13</v>
      </c>
      <c r="AG27" s="7">
        <v>0.9285714285714286</v>
      </c>
      <c r="AH27" s="3">
        <v>14</v>
      </c>
      <c r="AI27" s="41">
        <v>499</v>
      </c>
      <c r="AJ27" s="7">
        <v>1.3381962509050927E-2</v>
      </c>
      <c r="AK27" s="44">
        <v>37289</v>
      </c>
      <c r="AL27" s="117">
        <f t="shared" si="18"/>
        <v>0.15365461888477663</v>
      </c>
      <c r="AM27" s="115">
        <f t="shared" si="19"/>
        <v>0.46093057607090104</v>
      </c>
      <c r="AN27" s="7">
        <f t="shared" si="20"/>
        <v>0.86081370449678796</v>
      </c>
      <c r="AO27" s="171">
        <f t="shared" si="21"/>
        <v>0.15564423963359919</v>
      </c>
      <c r="AP27" s="63">
        <f t="shared" si="22"/>
        <v>126792</v>
      </c>
      <c r="AQ27" s="3">
        <f t="shared" si="23"/>
        <v>814627</v>
      </c>
      <c r="AR27" s="116">
        <f t="shared" si="24"/>
        <v>781942</v>
      </c>
      <c r="AS27" s="3">
        <f t="shared" si="25"/>
        <v>13540</v>
      </c>
      <c r="AT27" s="26">
        <f t="shared" si="26"/>
        <v>467</v>
      </c>
    </row>
    <row r="28" spans="1:46" x14ac:dyDescent="0.15">
      <c r="A28" s="146">
        <v>42917</v>
      </c>
      <c r="B28" s="3">
        <v>11871</v>
      </c>
      <c r="C28" s="115">
        <v>9.4197091007197101E-2</v>
      </c>
      <c r="D28" s="3">
        <v>126023</v>
      </c>
      <c r="E28" s="178">
        <v>855</v>
      </c>
      <c r="F28" s="115">
        <v>0.46116504854368934</v>
      </c>
      <c r="G28" s="3">
        <v>1854</v>
      </c>
      <c r="H28" s="178">
        <v>32</v>
      </c>
      <c r="I28" s="115">
        <v>0.66666666666666663</v>
      </c>
      <c r="J28" s="3">
        <v>48</v>
      </c>
      <c r="K28" s="195">
        <v>12758</v>
      </c>
      <c r="L28" s="115">
        <v>9.9730310728942742E-2</v>
      </c>
      <c r="M28" s="23">
        <v>127925</v>
      </c>
      <c r="N28" s="3">
        <v>111443</v>
      </c>
      <c r="O28" s="67">
        <v>0.18042891188622792</v>
      </c>
      <c r="P28" s="174">
        <v>617656</v>
      </c>
      <c r="Q28" s="68">
        <v>5380</v>
      </c>
      <c r="R28" s="67">
        <v>0.46543818669435072</v>
      </c>
      <c r="S28" s="40">
        <v>11559</v>
      </c>
      <c r="T28" s="68">
        <v>349</v>
      </c>
      <c r="U28" s="67">
        <v>0.87909319899244331</v>
      </c>
      <c r="V28" s="40">
        <v>397</v>
      </c>
      <c r="W28" s="63">
        <v>117172</v>
      </c>
      <c r="X28" s="67">
        <v>0.18610191673602156</v>
      </c>
      <c r="Y28" s="26">
        <v>629612</v>
      </c>
      <c r="Z28" s="3">
        <v>414</v>
      </c>
      <c r="AA28" s="115">
        <v>1.1155722023119831E-2</v>
      </c>
      <c r="AB28" s="40">
        <v>37111</v>
      </c>
      <c r="AC28" s="3">
        <v>72</v>
      </c>
      <c r="AD28" s="115">
        <v>0.38502673796791442</v>
      </c>
      <c r="AE28" s="40">
        <v>187</v>
      </c>
      <c r="AF28" s="3">
        <v>13</v>
      </c>
      <c r="AG28" s="7">
        <v>0.9285714285714286</v>
      </c>
      <c r="AH28" s="3">
        <v>14</v>
      </c>
      <c r="AI28" s="41">
        <v>499</v>
      </c>
      <c r="AJ28" s="7">
        <v>1.3373713550600344E-2</v>
      </c>
      <c r="AK28" s="44">
        <v>37312</v>
      </c>
      <c r="AL28" s="117">
        <f t="shared" si="18"/>
        <v>0.15846514427695027</v>
      </c>
      <c r="AM28" s="115">
        <f t="shared" si="19"/>
        <v>0.46375</v>
      </c>
      <c r="AN28" s="7">
        <f t="shared" si="20"/>
        <v>0.85838779956427014</v>
      </c>
      <c r="AO28" s="171">
        <f t="shared" si="21"/>
        <v>0.16026467281451401</v>
      </c>
      <c r="AP28" s="63">
        <f t="shared" si="22"/>
        <v>130429</v>
      </c>
      <c r="AQ28" s="3">
        <f t="shared" si="23"/>
        <v>813835</v>
      </c>
      <c r="AR28" s="116">
        <f t="shared" si="24"/>
        <v>780790</v>
      </c>
      <c r="AS28" s="3">
        <f t="shared" si="25"/>
        <v>13600</v>
      </c>
      <c r="AT28" s="26">
        <f t="shared" si="26"/>
        <v>459</v>
      </c>
    </row>
    <row r="29" spans="1:46" x14ac:dyDescent="0.15">
      <c r="A29" s="146">
        <v>42887</v>
      </c>
      <c r="B29" s="3">
        <v>11913</v>
      </c>
      <c r="C29" s="115">
        <v>9.4573138783481253E-2</v>
      </c>
      <c r="D29" s="3">
        <v>125966</v>
      </c>
      <c r="E29" s="178">
        <v>848</v>
      </c>
      <c r="F29" s="115">
        <v>0.45788336933045354</v>
      </c>
      <c r="G29" s="3">
        <v>1852</v>
      </c>
      <c r="H29" s="178">
        <v>33</v>
      </c>
      <c r="I29" s="115">
        <v>0.7021276595744681</v>
      </c>
      <c r="J29" s="3">
        <v>47</v>
      </c>
      <c r="K29" s="195">
        <v>12794</v>
      </c>
      <c r="L29" s="115">
        <v>0.10005865561334219</v>
      </c>
      <c r="M29" s="23">
        <v>127865</v>
      </c>
      <c r="N29" s="3">
        <v>112841</v>
      </c>
      <c r="O29" s="67">
        <v>0.1828021092364143</v>
      </c>
      <c r="P29" s="174">
        <v>617285</v>
      </c>
      <c r="Q29" s="68">
        <v>5404</v>
      </c>
      <c r="R29" s="67">
        <v>0.46702964307320022</v>
      </c>
      <c r="S29" s="40">
        <v>11571</v>
      </c>
      <c r="T29" s="68">
        <v>353</v>
      </c>
      <c r="U29" s="67">
        <v>0.87810945273631846</v>
      </c>
      <c r="V29" s="40">
        <v>402</v>
      </c>
      <c r="W29" s="63">
        <v>118598</v>
      </c>
      <c r="X29" s="67">
        <v>0.18847277269418902</v>
      </c>
      <c r="Y29" s="26">
        <v>629258</v>
      </c>
      <c r="Z29" s="3">
        <v>417</v>
      </c>
      <c r="AA29" s="115">
        <v>1.1244135253195276E-2</v>
      </c>
      <c r="AB29" s="40">
        <v>37086</v>
      </c>
      <c r="AC29" s="3">
        <v>72</v>
      </c>
      <c r="AD29" s="115">
        <v>0.38297872340425532</v>
      </c>
      <c r="AE29" s="40">
        <v>188</v>
      </c>
      <c r="AF29" s="3">
        <v>13</v>
      </c>
      <c r="AG29" s="7">
        <v>0.9285714285714286</v>
      </c>
      <c r="AH29" s="3">
        <v>14</v>
      </c>
      <c r="AI29" s="41">
        <v>502</v>
      </c>
      <c r="AJ29" s="7">
        <v>1.3462776228277193E-2</v>
      </c>
      <c r="AK29" s="44">
        <v>37288</v>
      </c>
      <c r="AL29" s="117">
        <f t="shared" si="18"/>
        <v>0.16040633726197784</v>
      </c>
      <c r="AM29" s="115">
        <f t="shared" si="19"/>
        <v>0.46462420101388585</v>
      </c>
      <c r="AN29" s="7">
        <f t="shared" si="20"/>
        <v>0.86177105831533474</v>
      </c>
      <c r="AO29" s="171">
        <f t="shared" si="21"/>
        <v>0.16213870558500437</v>
      </c>
      <c r="AP29" s="63">
        <f t="shared" si="22"/>
        <v>131894</v>
      </c>
      <c r="AQ29" s="3">
        <f t="shared" si="23"/>
        <v>813464</v>
      </c>
      <c r="AR29" s="116">
        <f t="shared" si="24"/>
        <v>780337</v>
      </c>
      <c r="AS29" s="3">
        <f t="shared" si="25"/>
        <v>13611</v>
      </c>
      <c r="AT29" s="26">
        <f t="shared" si="26"/>
        <v>463</v>
      </c>
    </row>
    <row r="30" spans="1:46" x14ac:dyDescent="0.15">
      <c r="A30" s="146">
        <v>42856</v>
      </c>
      <c r="B30" s="3">
        <v>11670</v>
      </c>
      <c r="C30" s="115">
        <v>9.159406639981163E-2</v>
      </c>
      <c r="D30" s="3">
        <v>127410</v>
      </c>
      <c r="E30" s="178">
        <v>839</v>
      </c>
      <c r="F30" s="115">
        <v>0.46845337800111669</v>
      </c>
      <c r="G30" s="3">
        <v>1791</v>
      </c>
      <c r="H30" s="178">
        <v>32</v>
      </c>
      <c r="I30" s="115">
        <v>0.71111111111111114</v>
      </c>
      <c r="J30" s="3">
        <v>45</v>
      </c>
      <c r="K30" s="195">
        <v>12541</v>
      </c>
      <c r="L30" s="115">
        <v>9.7032016464726187E-2</v>
      </c>
      <c r="M30" s="23">
        <v>129246</v>
      </c>
      <c r="N30" s="3">
        <v>113790</v>
      </c>
      <c r="O30" s="67">
        <v>0.18436397749200831</v>
      </c>
      <c r="P30" s="174">
        <v>617203</v>
      </c>
      <c r="Q30" s="68">
        <v>5603</v>
      </c>
      <c r="R30" s="67">
        <v>0.47032653403844538</v>
      </c>
      <c r="S30" s="40">
        <v>11913</v>
      </c>
      <c r="T30" s="68">
        <v>363</v>
      </c>
      <c r="U30" s="67">
        <v>0.8875305623471883</v>
      </c>
      <c r="V30" s="40">
        <v>409</v>
      </c>
      <c r="W30" s="63">
        <v>119756</v>
      </c>
      <c r="X30" s="67">
        <v>0.19023231801755291</v>
      </c>
      <c r="Y30" s="26">
        <v>629525</v>
      </c>
      <c r="Z30" s="3">
        <v>419</v>
      </c>
      <c r="AA30" s="115">
        <v>1.131331677286964E-2</v>
      </c>
      <c r="AB30" s="40">
        <v>37036</v>
      </c>
      <c r="AC30" s="3">
        <v>72</v>
      </c>
      <c r="AD30" s="115">
        <v>0.38297872340425532</v>
      </c>
      <c r="AE30" s="40">
        <v>188</v>
      </c>
      <c r="AF30" s="3">
        <v>13</v>
      </c>
      <c r="AG30" s="7">
        <v>0.9285714285714286</v>
      </c>
      <c r="AH30" s="3">
        <v>14</v>
      </c>
      <c r="AI30" s="41">
        <v>504</v>
      </c>
      <c r="AJ30" s="7">
        <v>1.3534561469466674E-2</v>
      </c>
      <c r="AK30" s="44">
        <v>37238</v>
      </c>
      <c r="AL30" s="117">
        <f t="shared" si="18"/>
        <v>0.16104287218431804</v>
      </c>
      <c r="AM30" s="115">
        <f t="shared" si="19"/>
        <v>0.46890296573567519</v>
      </c>
      <c r="AN30" s="7">
        <f t="shared" si="20"/>
        <v>0.87179487179487181</v>
      </c>
      <c r="AO30" s="171">
        <f t="shared" si="21"/>
        <v>0.1629420136929155</v>
      </c>
      <c r="AP30" s="63">
        <f t="shared" si="22"/>
        <v>132801</v>
      </c>
      <c r="AQ30" s="3">
        <f t="shared" si="23"/>
        <v>815020</v>
      </c>
      <c r="AR30" s="116">
        <f t="shared" si="24"/>
        <v>781649</v>
      </c>
      <c r="AS30" s="3">
        <f t="shared" si="25"/>
        <v>13892</v>
      </c>
      <c r="AT30" s="26">
        <f t="shared" si="26"/>
        <v>468</v>
      </c>
    </row>
    <row r="31" spans="1:46" x14ac:dyDescent="0.15">
      <c r="A31" s="146">
        <v>42826</v>
      </c>
      <c r="B31" s="3">
        <v>11257</v>
      </c>
      <c r="C31" s="115">
        <v>8.9019809418370177E-2</v>
      </c>
      <c r="D31" s="3">
        <v>126455</v>
      </c>
      <c r="E31" s="178">
        <v>825</v>
      </c>
      <c r="F31" s="115">
        <v>0.46928327645051193</v>
      </c>
      <c r="G31" s="3">
        <v>1758</v>
      </c>
      <c r="H31" s="178">
        <v>30</v>
      </c>
      <c r="I31" s="115">
        <v>0.69767441860465118</v>
      </c>
      <c r="J31" s="3">
        <v>43</v>
      </c>
      <c r="K31" s="195">
        <v>12112</v>
      </c>
      <c r="L31" s="115">
        <v>9.4436127744510975E-2</v>
      </c>
      <c r="M31" s="23">
        <v>128256</v>
      </c>
      <c r="N31" s="3">
        <f>SUM('[5]2000-Present'!$C$5,'[5]2000-Present'!$C$6,'[5]2000-Present'!$C$9)</f>
        <v>112935</v>
      </c>
      <c r="O31" s="67">
        <f>N31/P31</f>
        <v>0.18322241726721417</v>
      </c>
      <c r="P31" s="174">
        <f>N31+SUM('[5]2000-Present'!$G$5,'[5]2000-Present'!$G$6,'[5]2000-Present'!$G$9)</f>
        <v>616382</v>
      </c>
      <c r="Q31" s="68">
        <f>'[5]2000-Present'!$C$7</f>
        <v>5326</v>
      </c>
      <c r="R31" s="67">
        <f t="shared" ref="R31:R42" si="27">Q31/S31</f>
        <v>0.47608831679628139</v>
      </c>
      <c r="S31" s="40">
        <f>'[5]2000-Present'!$B$7</f>
        <v>11187</v>
      </c>
      <c r="T31" s="68">
        <f>'[5]2000-Present'!$C$8</f>
        <v>341</v>
      </c>
      <c r="U31" s="67">
        <f t="shared" ref="U31:U42" si="28">T31/V31</f>
        <v>0.88571428571428568</v>
      </c>
      <c r="V31" s="40">
        <f>'[5]2000-Present'!$B$8</f>
        <v>385</v>
      </c>
      <c r="W31" s="63">
        <f t="shared" ref="W31:W36" si="29">+T31+Q31+N31</f>
        <v>118602</v>
      </c>
      <c r="X31" s="67">
        <f t="shared" ref="X31:X36" si="30">W31/Y31</f>
        <v>0.18887052236310303</v>
      </c>
      <c r="Y31" s="26">
        <f t="shared" ref="Y31:Y36" si="31">+V31+S31+P31</f>
        <v>627954</v>
      </c>
      <c r="Z31" s="3">
        <v>420</v>
      </c>
      <c r="AA31" s="115">
        <v>1.1363328914260978E-2</v>
      </c>
      <c r="AB31" s="40">
        <v>36961</v>
      </c>
      <c r="AC31" s="3">
        <v>71</v>
      </c>
      <c r="AD31" s="115">
        <v>0.37967914438502676</v>
      </c>
      <c r="AE31" s="40">
        <v>187</v>
      </c>
      <c r="AF31" s="3">
        <v>13</v>
      </c>
      <c r="AG31" s="7">
        <v>0.9285714285714286</v>
      </c>
      <c r="AH31" s="3">
        <v>14</v>
      </c>
      <c r="AI31" s="41">
        <v>504</v>
      </c>
      <c r="AJ31" s="7">
        <v>1.3562240998869813E-2</v>
      </c>
      <c r="AK31" s="44">
        <v>37162</v>
      </c>
      <c r="AL31" s="117">
        <f t="shared" ref="AL31:AL36" si="32">(B31+N31+Z31)/AR31</f>
        <v>0.15980035855439487</v>
      </c>
      <c r="AM31" s="115">
        <f t="shared" ref="AM31:AM36" si="33">(E31+Q31+AC31)/AS31</f>
        <v>0.4738044471519951</v>
      </c>
      <c r="AN31" s="7">
        <f t="shared" ref="AN31:AN36" si="34">(H31+T31+AF31)/AT31</f>
        <v>0.86877828054298645</v>
      </c>
      <c r="AO31" s="171">
        <f t="shared" ref="AO31:AO36" si="35">AP31/AQ31</f>
        <v>0.16166721082233215</v>
      </c>
      <c r="AP31" s="63">
        <f t="shared" ref="AP31:AP36" si="36">AF31+AC31+Z31+T31+Q31+N31+H31+E31+B31</f>
        <v>131218</v>
      </c>
      <c r="AQ31" s="3">
        <f t="shared" ref="AQ31:AQ36" si="37">AH31+AF31+AE31+AC31+Z31+AB31+V31+T31+S31+Q31+P31+J31+H31+G31+E31+D31+B31</f>
        <v>811655</v>
      </c>
      <c r="AR31" s="116">
        <f t="shared" ref="AR31:AR36" si="38">+D31+P31+AB31</f>
        <v>779798</v>
      </c>
      <c r="AS31" s="3">
        <f t="shared" ref="AS31:AS36" si="39">G31+S31+AE31</f>
        <v>13132</v>
      </c>
      <c r="AT31" s="26">
        <f t="shared" ref="AT31:AT36" si="40">J31+V31+AH31</f>
        <v>442</v>
      </c>
    </row>
    <row r="32" spans="1:46" x14ac:dyDescent="0.15">
      <c r="A32" s="146">
        <v>42795</v>
      </c>
      <c r="B32" s="3">
        <f>[9]BHD!$C$17</f>
        <v>11108</v>
      </c>
      <c r="C32" s="115">
        <f t="shared" ref="C32:C41" si="41">B32/D32</f>
        <v>8.9431352500261657E-2</v>
      </c>
      <c r="D32" s="3">
        <f>[9]BHD!$E$17</f>
        <v>124207</v>
      </c>
      <c r="E32" s="178">
        <f>[9]BHD!$C$18</f>
        <v>843</v>
      </c>
      <c r="F32" s="115">
        <f t="shared" ref="F32:F41" si="42">E32/G32</f>
        <v>0.46833333333333332</v>
      </c>
      <c r="G32" s="3">
        <f>[9]BHD!$E$18</f>
        <v>1800</v>
      </c>
      <c r="H32" s="178">
        <f>[9]BHD!$C$19</f>
        <v>32</v>
      </c>
      <c r="I32" s="115">
        <f t="shared" ref="I32:I41" si="43">H32/J32</f>
        <v>0.69565217391304346</v>
      </c>
      <c r="J32" s="3">
        <f>[9]BHD!$E$19</f>
        <v>46</v>
      </c>
      <c r="K32" s="195">
        <f>+H32+E32+B32</f>
        <v>11983</v>
      </c>
      <c r="L32" s="115">
        <f>K32/M32</f>
        <v>9.506318770675827E-2</v>
      </c>
      <c r="M32" s="23">
        <f>+J32+G32+D32</f>
        <v>126053</v>
      </c>
      <c r="N32" s="3">
        <f>SUM('[5]2000-Present'!$C$16,'[5]2000-Present'!$C$17,'[5]2000-Present'!$C$20)</f>
        <v>115343</v>
      </c>
      <c r="O32" s="67">
        <f>N32/P32</f>
        <v>0.18493049654486862</v>
      </c>
      <c r="P32" s="174">
        <f>N32+SUM('[5]2000-Present'!$G$16,'[5]2000-Present'!$G$17,'[5]2000-Present'!$G$20)</f>
        <v>623710</v>
      </c>
      <c r="Q32" s="68">
        <f>'[5]2000-Present'!$C$18</f>
        <v>6119</v>
      </c>
      <c r="R32" s="67">
        <f t="shared" si="27"/>
        <v>0.47920745555642574</v>
      </c>
      <c r="S32" s="40">
        <f>'[5]2000-Present'!$B$18</f>
        <v>12769</v>
      </c>
      <c r="T32" s="68">
        <f>'[5]2000-Present'!$C$19</f>
        <v>419</v>
      </c>
      <c r="U32" s="67">
        <f t="shared" si="28"/>
        <v>0.88771186440677963</v>
      </c>
      <c r="V32" s="40">
        <f>'[5]2000-Present'!$B$19</f>
        <v>472</v>
      </c>
      <c r="W32" s="63">
        <f t="shared" si="29"/>
        <v>121881</v>
      </c>
      <c r="X32" s="67">
        <f t="shared" si="30"/>
        <v>0.19135066904675557</v>
      </c>
      <c r="Y32" s="26">
        <f t="shared" si="31"/>
        <v>636951</v>
      </c>
      <c r="Z32" s="3">
        <f>[9]MPD!$F$27</f>
        <v>418</v>
      </c>
      <c r="AA32" s="115">
        <f t="shared" ref="AA32:AA41" si="44">Z32/AB32</f>
        <v>1.1308911855419079E-2</v>
      </c>
      <c r="AB32" s="40">
        <f>[9]MPD!$G$27</f>
        <v>36962</v>
      </c>
      <c r="AC32" s="3">
        <f>[9]MPD!$D$17</f>
        <v>72</v>
      </c>
      <c r="AD32" s="115">
        <f t="shared" ref="AD32:AD41" si="45">AC32/AE32</f>
        <v>0.38297872340425532</v>
      </c>
      <c r="AE32" s="40">
        <f>[9]MPD!$E$17</f>
        <v>188</v>
      </c>
      <c r="AF32" s="3">
        <f>[9]MPD!$D$18</f>
        <v>13</v>
      </c>
      <c r="AG32" s="7">
        <f t="shared" ref="AG32:AG41" si="46">AF32/AH32</f>
        <v>0.9285714285714286</v>
      </c>
      <c r="AH32" s="3">
        <f>[9]MPD!$E$18</f>
        <v>14</v>
      </c>
      <c r="AI32" s="41">
        <f>+AF32+AC32+Z32</f>
        <v>503</v>
      </c>
      <c r="AJ32" s="7">
        <f>AI32/AK32</f>
        <v>1.3534603379614681E-2</v>
      </c>
      <c r="AK32" s="44">
        <f>+AH32+AE32+AB32</f>
        <v>37164</v>
      </c>
      <c r="AL32" s="117">
        <f t="shared" si="32"/>
        <v>0.16164147594724793</v>
      </c>
      <c r="AM32" s="115">
        <f t="shared" si="33"/>
        <v>0.47665514671003589</v>
      </c>
      <c r="AN32" s="7">
        <f t="shared" si="34"/>
        <v>0.8721804511278195</v>
      </c>
      <c r="AO32" s="171">
        <f t="shared" si="35"/>
        <v>0.16402381859197843</v>
      </c>
      <c r="AP32" s="63">
        <f t="shared" si="36"/>
        <v>134367</v>
      </c>
      <c r="AQ32" s="3">
        <f t="shared" si="37"/>
        <v>819192</v>
      </c>
      <c r="AR32" s="116">
        <f t="shared" si="38"/>
        <v>784879</v>
      </c>
      <c r="AS32" s="3">
        <f t="shared" si="39"/>
        <v>14757</v>
      </c>
      <c r="AT32" s="26">
        <f t="shared" si="40"/>
        <v>532</v>
      </c>
    </row>
    <row r="33" spans="1:46" x14ac:dyDescent="0.15">
      <c r="A33" s="146">
        <v>42767</v>
      </c>
      <c r="B33" s="3">
        <f>[8]BHD!$C$17</f>
        <v>10883</v>
      </c>
      <c r="C33" s="115">
        <f t="shared" si="41"/>
        <v>8.767279992266297E-2</v>
      </c>
      <c r="D33" s="3">
        <f>[8]BHD!$E$17</f>
        <v>124132</v>
      </c>
      <c r="E33" s="178">
        <f>[8]BHD!$C$18</f>
        <v>836</v>
      </c>
      <c r="F33" s="115">
        <f t="shared" si="42"/>
        <v>0.46651785714285715</v>
      </c>
      <c r="G33" s="3">
        <f>[8]BHD!$E$18</f>
        <v>1792</v>
      </c>
      <c r="H33" s="178">
        <f>[8]BHD!$C$19</f>
        <v>34</v>
      </c>
      <c r="I33" s="115">
        <f t="shared" si="43"/>
        <v>0.72340425531914898</v>
      </c>
      <c r="J33" s="3">
        <f>[8]BHD!$E$19</f>
        <v>47</v>
      </c>
      <c r="K33" s="195">
        <f>+H33+E33+B33</f>
        <v>11753</v>
      </c>
      <c r="L33" s="115">
        <f>K33/M33</f>
        <v>9.3299251415008222E-2</v>
      </c>
      <c r="M33" s="23">
        <f>+J33+G33+D33</f>
        <v>125971</v>
      </c>
      <c r="N33" s="3">
        <f>SUM('[5]2000-Present'!$C$27,'[5]2000-Present'!$C$28,'[5]2000-Present'!$C$31)</f>
        <v>102593</v>
      </c>
      <c r="O33" s="67">
        <f>N33/P33</f>
        <v>0.16797623940048367</v>
      </c>
      <c r="P33" s="174">
        <f>N33+SUM('[5]2000-Present'!$G$27,'[5]2000-Present'!$G$28,'[5]2000-Present'!$G$31)</f>
        <v>610759</v>
      </c>
      <c r="Q33" s="68">
        <f>'[5]2000-Present'!$C$29</f>
        <v>4915</v>
      </c>
      <c r="R33" s="67">
        <f t="shared" si="27"/>
        <v>0.47630584358949513</v>
      </c>
      <c r="S33" s="40">
        <f>'[5]2000-Present'!$B$29</f>
        <v>10319</v>
      </c>
      <c r="T33" s="68">
        <f>'[5]2000-Present'!$C$30</f>
        <v>297</v>
      </c>
      <c r="U33" s="67">
        <f t="shared" si="28"/>
        <v>0.8892215568862275</v>
      </c>
      <c r="V33" s="40">
        <f>'[5]2000-Present'!$B$30</f>
        <v>334</v>
      </c>
      <c r="W33" s="63">
        <f t="shared" si="29"/>
        <v>107805</v>
      </c>
      <c r="X33" s="67">
        <f t="shared" si="30"/>
        <v>0.17348393658313646</v>
      </c>
      <c r="Y33" s="26">
        <f t="shared" si="31"/>
        <v>621412</v>
      </c>
      <c r="Z33" s="3">
        <f>[8]MPD!$C$16</f>
        <v>423</v>
      </c>
      <c r="AA33" s="115">
        <f t="shared" si="44"/>
        <v>1.1442638028511917E-2</v>
      </c>
      <c r="AB33" s="40">
        <f>[8]MPD!$E$16</f>
        <v>36967</v>
      </c>
      <c r="AC33" s="3">
        <f>[8]MPD!$C$17</f>
        <v>72</v>
      </c>
      <c r="AD33" s="115">
        <f t="shared" si="45"/>
        <v>0.38297872340425532</v>
      </c>
      <c r="AE33" s="40">
        <f>[8]MPD!$E$17</f>
        <v>188</v>
      </c>
      <c r="AF33" s="3">
        <f>[8]MPD!$C$18</f>
        <v>13</v>
      </c>
      <c r="AG33" s="7">
        <f t="shared" si="46"/>
        <v>0.9285714285714286</v>
      </c>
      <c r="AH33" s="3">
        <f>[8]MPD!$E$18</f>
        <v>14</v>
      </c>
      <c r="AI33" s="41">
        <f>+AF33+AC33+Z33</f>
        <v>508</v>
      </c>
      <c r="AJ33" s="7">
        <f>AI33/AK33</f>
        <v>1.3667303397992952E-2</v>
      </c>
      <c r="AK33" s="44">
        <f>+AH33+AE33+AB33</f>
        <v>37169</v>
      </c>
      <c r="AL33" s="117">
        <f t="shared" si="32"/>
        <v>0.14756470749801129</v>
      </c>
      <c r="AM33" s="115">
        <f t="shared" si="33"/>
        <v>0.47345312627042851</v>
      </c>
      <c r="AN33" s="7">
        <f t="shared" si="34"/>
        <v>0.87088607594936707</v>
      </c>
      <c r="AO33" s="171">
        <f t="shared" si="35"/>
        <v>0.14970356285651942</v>
      </c>
      <c r="AP33" s="63">
        <f t="shared" si="36"/>
        <v>120066</v>
      </c>
      <c r="AQ33" s="3">
        <f t="shared" si="37"/>
        <v>802025</v>
      </c>
      <c r="AR33" s="116">
        <f t="shared" si="38"/>
        <v>771858</v>
      </c>
      <c r="AS33" s="3">
        <f t="shared" si="39"/>
        <v>12299</v>
      </c>
      <c r="AT33" s="26">
        <f t="shared" si="40"/>
        <v>395</v>
      </c>
    </row>
    <row r="34" spans="1:46" x14ac:dyDescent="0.15">
      <c r="A34" s="146">
        <v>42736</v>
      </c>
      <c r="B34" s="3">
        <v>10804</v>
      </c>
      <c r="C34" s="115">
        <f t="shared" si="41"/>
        <v>8.7039886567789437E-2</v>
      </c>
      <c r="D34" s="3">
        <v>124127</v>
      </c>
      <c r="E34" s="178">
        <v>838</v>
      </c>
      <c r="F34" s="115">
        <f t="shared" si="42"/>
        <v>0.46763392857142855</v>
      </c>
      <c r="G34" s="3">
        <v>1792</v>
      </c>
      <c r="H34" s="178">
        <v>34</v>
      </c>
      <c r="I34" s="115">
        <f t="shared" si="43"/>
        <v>0.72340425531914898</v>
      </c>
      <c r="J34" s="3">
        <v>47</v>
      </c>
      <c r="K34" s="195">
        <f>+H34+E34+B34</f>
        <v>11676</v>
      </c>
      <c r="L34" s="115">
        <f>K34/M34</f>
        <v>9.2691678706952677E-2</v>
      </c>
      <c r="M34" s="23">
        <f>+J34+G34+D34</f>
        <v>125966</v>
      </c>
      <c r="N34" s="3">
        <f>SUM('[5]2000-Present'!$C$38,'[5]2000-Present'!$C$39,'[5]2000-Present'!$C$42)</f>
        <v>119322</v>
      </c>
      <c r="O34" s="67">
        <f>N34/P34</f>
        <v>0.1930164543284007</v>
      </c>
      <c r="P34" s="174">
        <f>N34+SUM('[5]2000-Present'!$G$38,'[5]2000-Present'!$G$39,'[5]2000-Present'!$G$42)</f>
        <v>618196</v>
      </c>
      <c r="Q34" s="68">
        <f>'[5]2000-Present'!$C$40</f>
        <v>5845</v>
      </c>
      <c r="R34" s="67">
        <f t="shared" si="27"/>
        <v>0.48166460651009479</v>
      </c>
      <c r="S34" s="40">
        <f>'[5]2000-Present'!$C$40+'[5]2000-Present'!$G$40</f>
        <v>12135</v>
      </c>
      <c r="T34" s="68">
        <f>'[5]2000-Present'!$C$41</f>
        <v>373</v>
      </c>
      <c r="U34" s="67">
        <f t="shared" si="28"/>
        <v>0.89234449760765555</v>
      </c>
      <c r="V34" s="40">
        <f>'[5]2000-Present'!$B$41</f>
        <v>418</v>
      </c>
      <c r="W34" s="63">
        <f t="shared" si="29"/>
        <v>125540</v>
      </c>
      <c r="X34" s="67">
        <f t="shared" si="30"/>
        <v>0.19903321289451112</v>
      </c>
      <c r="Y34" s="26">
        <f t="shared" si="31"/>
        <v>630749</v>
      </c>
      <c r="Z34" s="3">
        <f>[6]MPD!$D$16</f>
        <v>423</v>
      </c>
      <c r="AA34" s="115">
        <f t="shared" si="44"/>
        <v>1.1441709494184474E-2</v>
      </c>
      <c r="AB34" s="40">
        <f>[6]MPD!$E$16</f>
        <v>36970</v>
      </c>
      <c r="AC34" s="3">
        <f>[6]MPD!$D$17</f>
        <v>72</v>
      </c>
      <c r="AD34" s="115">
        <f t="shared" si="45"/>
        <v>0.38095238095238093</v>
      </c>
      <c r="AE34" s="40">
        <f>[6]MPD!$E$17</f>
        <v>189</v>
      </c>
      <c r="AF34" s="3">
        <f>[6]MPD!$D$18</f>
        <v>13</v>
      </c>
      <c r="AG34" s="7">
        <f t="shared" si="46"/>
        <v>0.9285714285714286</v>
      </c>
      <c r="AH34" s="3">
        <f>[6]MPD!$E$18</f>
        <v>14</v>
      </c>
      <c r="AI34" s="41">
        <f>+AF34+AC34+Z34</f>
        <v>508</v>
      </c>
      <c r="AJ34" s="7">
        <f>AI34/AK34</f>
        <v>1.366583272805531E-2</v>
      </c>
      <c r="AK34" s="44">
        <f>+AH34+AE34+AB34</f>
        <v>37173</v>
      </c>
      <c r="AL34" s="117">
        <f t="shared" si="32"/>
        <v>0.16752235680289698</v>
      </c>
      <c r="AM34" s="115">
        <f t="shared" si="33"/>
        <v>0.47853499574950409</v>
      </c>
      <c r="AN34" s="7">
        <f t="shared" si="34"/>
        <v>0.87682672233820458</v>
      </c>
      <c r="AO34" s="171">
        <f t="shared" si="35"/>
        <v>0.16955028376565021</v>
      </c>
      <c r="AP34" s="63">
        <f t="shared" si="36"/>
        <v>137724</v>
      </c>
      <c r="AQ34" s="3">
        <f t="shared" si="37"/>
        <v>812290</v>
      </c>
      <c r="AR34" s="116">
        <f t="shared" si="38"/>
        <v>779293</v>
      </c>
      <c r="AS34" s="3">
        <f t="shared" si="39"/>
        <v>14116</v>
      </c>
      <c r="AT34" s="26">
        <f t="shared" si="40"/>
        <v>479</v>
      </c>
    </row>
    <row r="35" spans="1:46" x14ac:dyDescent="0.15">
      <c r="A35" s="146">
        <v>42705</v>
      </c>
      <c r="B35" s="3">
        <v>10958</v>
      </c>
      <c r="C35" s="115">
        <f t="shared" si="41"/>
        <v>8.8176836480973339E-2</v>
      </c>
      <c r="D35" s="3">
        <v>124273</v>
      </c>
      <c r="E35" s="178">
        <v>835</v>
      </c>
      <c r="F35" s="115">
        <f t="shared" si="42"/>
        <v>0.46183628318584069</v>
      </c>
      <c r="G35" s="3">
        <v>1808</v>
      </c>
      <c r="H35" s="178">
        <v>30</v>
      </c>
      <c r="I35" s="115">
        <f t="shared" si="43"/>
        <v>0.69767441860465118</v>
      </c>
      <c r="J35" s="3">
        <v>43</v>
      </c>
      <c r="K35" s="195">
        <f>+H35+E35+B35</f>
        <v>11823</v>
      </c>
      <c r="L35" s="115">
        <f>K35/M35</f>
        <v>9.3741080206780625E-2</v>
      </c>
      <c r="M35" s="23">
        <f>+J35+G35+D35</f>
        <v>126124</v>
      </c>
      <c r="N35" s="3">
        <f>SUM('[3]2000-Present'!$C$5,'[3]2000-Present'!$C$6,'[3]2000-Present'!$C$9)</f>
        <v>122411</v>
      </c>
      <c r="O35" s="67">
        <f t="shared" ref="O35:O42" si="47">N35/P35</f>
        <v>0.19810810810810811</v>
      </c>
      <c r="P35" s="174">
        <f>SUM('[3]2000-Present'!$B$5,'[3]2000-Present'!$B$6,'[3]2000-Present'!$B$9)</f>
        <v>617900</v>
      </c>
      <c r="Q35" s="68">
        <v>5930</v>
      </c>
      <c r="R35" s="67">
        <f t="shared" si="27"/>
        <v>0.48887056883759272</v>
      </c>
      <c r="S35" s="40">
        <v>12130</v>
      </c>
      <c r="T35" s="68">
        <v>374</v>
      </c>
      <c r="U35" s="67">
        <f t="shared" si="28"/>
        <v>0.89473684210526316</v>
      </c>
      <c r="V35" s="40">
        <v>418</v>
      </c>
      <c r="W35" s="63">
        <f t="shared" si="29"/>
        <v>128715</v>
      </c>
      <c r="X35" s="67">
        <f t="shared" si="30"/>
        <v>0.20416434027865898</v>
      </c>
      <c r="Y35" s="26">
        <f t="shared" si="31"/>
        <v>630448</v>
      </c>
      <c r="Z35" s="3">
        <v>470</v>
      </c>
      <c r="AA35" s="115">
        <f t="shared" si="44"/>
        <v>1.2524983344437041E-2</v>
      </c>
      <c r="AB35" s="40">
        <v>37525</v>
      </c>
      <c r="AC35" s="3">
        <v>70</v>
      </c>
      <c r="AD35" s="115">
        <f t="shared" si="45"/>
        <v>0.38251366120218577</v>
      </c>
      <c r="AE35" s="40">
        <v>183</v>
      </c>
      <c r="AF35" s="3">
        <v>13</v>
      </c>
      <c r="AG35" s="7">
        <f t="shared" si="46"/>
        <v>0.9285714285714286</v>
      </c>
      <c r="AH35" s="3">
        <v>14</v>
      </c>
      <c r="AI35" s="41">
        <f>+AF35+AC35+Z35</f>
        <v>553</v>
      </c>
      <c r="AJ35" s="7">
        <f>AI35/AK35</f>
        <v>1.4659880176024601E-2</v>
      </c>
      <c r="AK35" s="44">
        <f>+AH35+AE35+AB35</f>
        <v>37722</v>
      </c>
      <c r="AL35" s="117">
        <f t="shared" si="32"/>
        <v>0.17165492280344441</v>
      </c>
      <c r="AM35" s="115">
        <f t="shared" si="33"/>
        <v>0.48403087600028327</v>
      </c>
      <c r="AN35" s="7">
        <f t="shared" si="34"/>
        <v>0.87789473684210528</v>
      </c>
      <c r="AO35" s="171">
        <f t="shared" si="35"/>
        <v>0.17354921559607073</v>
      </c>
      <c r="AP35" s="63">
        <f t="shared" si="36"/>
        <v>141091</v>
      </c>
      <c r="AQ35" s="3">
        <f t="shared" si="37"/>
        <v>812974</v>
      </c>
      <c r="AR35" s="116">
        <f t="shared" si="38"/>
        <v>779698</v>
      </c>
      <c r="AS35" s="3">
        <f t="shared" si="39"/>
        <v>14121</v>
      </c>
      <c r="AT35" s="26">
        <f t="shared" si="40"/>
        <v>475</v>
      </c>
    </row>
    <row r="36" spans="1:46" x14ac:dyDescent="0.15">
      <c r="A36" s="146">
        <v>42675</v>
      </c>
      <c r="B36" s="3">
        <v>10833</v>
      </c>
      <c r="C36" s="115">
        <f t="shared" si="41"/>
        <v>8.6889913775817118E-2</v>
      </c>
      <c r="D36" s="3">
        <v>124675</v>
      </c>
      <c r="E36" s="178">
        <v>836</v>
      </c>
      <c r="F36" s="115">
        <f t="shared" si="42"/>
        <v>0.45808219178082193</v>
      </c>
      <c r="G36" s="3">
        <v>1825</v>
      </c>
      <c r="H36" s="178">
        <v>34</v>
      </c>
      <c r="I36" s="115">
        <f t="shared" si="43"/>
        <v>0.73913043478260865</v>
      </c>
      <c r="J36" s="3">
        <v>46</v>
      </c>
      <c r="K36" s="195">
        <f t="shared" ref="K36:K41" si="48">+H36+E36+B36</f>
        <v>11703</v>
      </c>
      <c r="L36" s="115">
        <f>K36/M36</f>
        <v>9.2480204826703327E-2</v>
      </c>
      <c r="M36" s="23">
        <f t="shared" ref="M36:M41" si="49">+J36+G36+D36</f>
        <v>126546</v>
      </c>
      <c r="N36" s="3">
        <f>100381+15712+636</f>
        <v>116729</v>
      </c>
      <c r="O36" s="67">
        <f t="shared" si="47"/>
        <v>0.19089117654273544</v>
      </c>
      <c r="P36" s="174">
        <f>554975+51272+5248</f>
        <v>611495</v>
      </c>
      <c r="Q36" s="68">
        <v>5420</v>
      </c>
      <c r="R36" s="67">
        <f t="shared" si="27"/>
        <v>0.49058653149891385</v>
      </c>
      <c r="S36" s="40">
        <v>11048</v>
      </c>
      <c r="T36" s="68">
        <v>337</v>
      </c>
      <c r="U36" s="67">
        <f t="shared" si="28"/>
        <v>0.89153439153439151</v>
      </c>
      <c r="V36" s="40">
        <v>378</v>
      </c>
      <c r="W36" s="63">
        <f t="shared" si="29"/>
        <v>122486</v>
      </c>
      <c r="X36" s="67">
        <f t="shared" si="30"/>
        <v>0.19663167560573491</v>
      </c>
      <c r="Y36" s="26">
        <f t="shared" si="31"/>
        <v>622921</v>
      </c>
      <c r="Z36" s="3">
        <v>474</v>
      </c>
      <c r="AA36" s="115">
        <f t="shared" si="44"/>
        <v>1.2605377230540116E-2</v>
      </c>
      <c r="AB36" s="40">
        <v>37603</v>
      </c>
      <c r="AC36" s="3">
        <v>72</v>
      </c>
      <c r="AD36" s="115">
        <f t="shared" si="45"/>
        <v>0.39344262295081966</v>
      </c>
      <c r="AE36" s="40">
        <v>183</v>
      </c>
      <c r="AF36" s="3">
        <v>12</v>
      </c>
      <c r="AG36" s="7">
        <f t="shared" si="46"/>
        <v>0.92307692307692313</v>
      </c>
      <c r="AH36" s="3">
        <v>13</v>
      </c>
      <c r="AI36" s="41">
        <f>+AF36+AC36+Z36</f>
        <v>558</v>
      </c>
      <c r="AJ36" s="7">
        <f>AI36/AK36</f>
        <v>1.4762295298817429E-2</v>
      </c>
      <c r="AK36" s="44">
        <f>+AH36+AE36+AB36</f>
        <v>37799</v>
      </c>
      <c r="AL36" s="117">
        <f t="shared" si="32"/>
        <v>0.16546971786299083</v>
      </c>
      <c r="AM36" s="115">
        <f t="shared" si="33"/>
        <v>0.48468137254901961</v>
      </c>
      <c r="AN36" s="7">
        <f t="shared" si="34"/>
        <v>0.8764302059496567</v>
      </c>
      <c r="AO36" s="171">
        <f t="shared" si="35"/>
        <v>0.16732854496053567</v>
      </c>
      <c r="AP36" s="63">
        <f t="shared" si="36"/>
        <v>134747</v>
      </c>
      <c r="AQ36" s="3">
        <f t="shared" si="37"/>
        <v>805284</v>
      </c>
      <c r="AR36" s="116">
        <f t="shared" si="38"/>
        <v>773773</v>
      </c>
      <c r="AS36" s="3">
        <f t="shared" si="39"/>
        <v>13056</v>
      </c>
      <c r="AT36" s="26">
        <f t="shared" si="40"/>
        <v>437</v>
      </c>
    </row>
    <row r="37" spans="1:46" x14ac:dyDescent="0.15">
      <c r="A37" s="146">
        <v>42644</v>
      </c>
      <c r="B37" s="3">
        <v>10865</v>
      </c>
      <c r="C37" s="115">
        <f t="shared" si="41"/>
        <v>8.6863017860283651E-2</v>
      </c>
      <c r="D37" s="3">
        <v>125082</v>
      </c>
      <c r="E37" s="178">
        <v>835</v>
      </c>
      <c r="F37" s="115">
        <f t="shared" si="42"/>
        <v>0.45603495357728019</v>
      </c>
      <c r="G37" s="3">
        <v>1831</v>
      </c>
      <c r="H37" s="178">
        <v>34</v>
      </c>
      <c r="I37" s="115">
        <f t="shared" si="43"/>
        <v>0.73913043478260865</v>
      </c>
      <c r="J37" s="3">
        <v>46</v>
      </c>
      <c r="K37" s="195">
        <f t="shared" si="48"/>
        <v>11734</v>
      </c>
      <c r="L37" s="115">
        <f t="shared" ref="L37:L44" si="50">K37/M37</f>
        <v>9.2423538307642619E-2</v>
      </c>
      <c r="M37" s="23">
        <f t="shared" si="49"/>
        <v>126959</v>
      </c>
      <c r="N37" s="3">
        <f>107130+15833+641</f>
        <v>123604</v>
      </c>
      <c r="O37" s="67">
        <f t="shared" si="47"/>
        <v>0.2023661005183417</v>
      </c>
      <c r="P37" s="174">
        <f>554338+51257+5199</f>
        <v>610794</v>
      </c>
      <c r="Q37" s="68">
        <v>5387</v>
      </c>
      <c r="R37" s="67">
        <f t="shared" si="27"/>
        <v>0.49281858933308936</v>
      </c>
      <c r="S37" s="40">
        <v>10931</v>
      </c>
      <c r="T37" s="68">
        <v>318</v>
      </c>
      <c r="U37" s="67">
        <f t="shared" si="28"/>
        <v>0.88579387186629521</v>
      </c>
      <c r="V37" s="40">
        <v>359</v>
      </c>
      <c r="W37" s="63">
        <f t="shared" ref="W37:W42" si="51">+T37+Q37+N37</f>
        <v>129309</v>
      </c>
      <c r="X37" s="67">
        <f t="shared" ref="X37:X42" si="52">W37/Y37</f>
        <v>0.20786421126407367</v>
      </c>
      <c r="Y37" s="26">
        <f t="shared" ref="Y37:Y42" si="53">+V37+S37+P37</f>
        <v>622084</v>
      </c>
      <c r="Z37" s="3">
        <v>430</v>
      </c>
      <c r="AA37" s="115">
        <f t="shared" si="44"/>
        <v>1.1185391358634863E-2</v>
      </c>
      <c r="AB37" s="40">
        <v>38443</v>
      </c>
      <c r="AC37" s="3">
        <v>74</v>
      </c>
      <c r="AD37" s="115">
        <f t="shared" si="45"/>
        <v>0.39153439153439151</v>
      </c>
      <c r="AE37" s="40">
        <v>189</v>
      </c>
      <c r="AF37" s="3">
        <v>13</v>
      </c>
      <c r="AG37" s="7">
        <f t="shared" si="46"/>
        <v>0.9285714285714286</v>
      </c>
      <c r="AH37" s="3">
        <v>14</v>
      </c>
      <c r="AI37" s="41">
        <f t="shared" ref="AI37:AI42" si="54">+AF37+AC37+Z37</f>
        <v>517</v>
      </c>
      <c r="AJ37" s="7">
        <f t="shared" ref="AJ37:AJ42" si="55">AI37/AK37</f>
        <v>1.3377839879935828E-2</v>
      </c>
      <c r="AK37" s="44">
        <f t="shared" ref="AK37:AK42" si="56">+AH37+AE37+AB37</f>
        <v>38646</v>
      </c>
      <c r="AL37" s="117">
        <f t="shared" ref="AL37:AL42" si="57">(B37+N37+Z37)/AR37</f>
        <v>0.17421631136521254</v>
      </c>
      <c r="AM37" s="115">
        <f t="shared" ref="AM37:AM42" si="58">(E37+Q37+AC37)/AS37</f>
        <v>0.4861400664041387</v>
      </c>
      <c r="AN37" s="7">
        <f t="shared" ref="AN37:AN42" si="59">(H37+T37+AF37)/AT37</f>
        <v>0.87112171837708829</v>
      </c>
      <c r="AO37" s="171">
        <f t="shared" ref="AO37:AO42" si="60">AP37/AQ37</f>
        <v>0.17571014528731638</v>
      </c>
      <c r="AP37" s="63">
        <f t="shared" ref="AP37:AP42" si="61">AF37+AC37+Z37+T37+Q37+N37+H37+E37+B37</f>
        <v>141560</v>
      </c>
      <c r="AQ37" s="3">
        <f t="shared" ref="AQ37:AQ42" si="62">AH37+AF37+AE37+AC37+Z37+AB37+V37+T37+S37+Q37+P37+J37+H37+G37+E37+D37+B37</f>
        <v>805645</v>
      </c>
      <c r="AR37" s="116">
        <f t="shared" ref="AR37:AR42" si="63">+D37+P37+AB37</f>
        <v>774319</v>
      </c>
      <c r="AS37" s="3">
        <f t="shared" ref="AS37:AS42" si="64">G37+S37+AE37</f>
        <v>12951</v>
      </c>
      <c r="AT37" s="26">
        <f t="shared" ref="AT37:AT42" si="65">J37+V37+AH37</f>
        <v>419</v>
      </c>
    </row>
    <row r="38" spans="1:46" x14ac:dyDescent="0.15">
      <c r="A38" s="146">
        <v>42614</v>
      </c>
      <c r="B38" s="3">
        <v>10899</v>
      </c>
      <c r="C38" s="115">
        <f t="shared" si="41"/>
        <v>8.705480163262698E-2</v>
      </c>
      <c r="D38" s="3">
        <v>125197</v>
      </c>
      <c r="E38" s="178">
        <v>837</v>
      </c>
      <c r="F38" s="115">
        <f t="shared" si="42"/>
        <v>0.45662847790507366</v>
      </c>
      <c r="G38" s="3">
        <v>1833</v>
      </c>
      <c r="H38" s="178">
        <v>35</v>
      </c>
      <c r="I38" s="115">
        <f t="shared" si="43"/>
        <v>0.76086956521739135</v>
      </c>
      <c r="J38" s="3">
        <v>46</v>
      </c>
      <c r="K38" s="195">
        <f t="shared" si="48"/>
        <v>11771</v>
      </c>
      <c r="L38" s="115">
        <f t="shared" si="50"/>
        <v>9.2629607478988948E-2</v>
      </c>
      <c r="M38" s="23">
        <f t="shared" si="49"/>
        <v>127076</v>
      </c>
      <c r="N38" s="3">
        <f>101943+16606+629</f>
        <v>119178</v>
      </c>
      <c r="O38" s="67">
        <f t="shared" si="47"/>
        <v>0.1944401390699412</v>
      </c>
      <c r="P38" s="174">
        <f>553904+53606+5419</f>
        <v>612929</v>
      </c>
      <c r="Q38" s="68">
        <v>5780</v>
      </c>
      <c r="R38" s="67">
        <f t="shared" si="27"/>
        <v>0.50462720447005416</v>
      </c>
      <c r="S38" s="40">
        <v>11454</v>
      </c>
      <c r="T38" s="68">
        <v>354</v>
      </c>
      <c r="U38" s="67">
        <f t="shared" si="28"/>
        <v>0.88279301745635907</v>
      </c>
      <c r="V38" s="40">
        <v>401</v>
      </c>
      <c r="W38" s="63">
        <f t="shared" si="51"/>
        <v>125312</v>
      </c>
      <c r="X38" s="67">
        <f t="shared" si="52"/>
        <v>0.20056851647929524</v>
      </c>
      <c r="Y38" s="26">
        <f t="shared" si="53"/>
        <v>624784</v>
      </c>
      <c r="Z38" s="3">
        <v>430</v>
      </c>
      <c r="AA38" s="115">
        <f t="shared" si="44"/>
        <v>1.1647119369430374E-2</v>
      </c>
      <c r="AB38" s="40">
        <v>36919</v>
      </c>
      <c r="AC38" s="3">
        <v>75</v>
      </c>
      <c r="AD38" s="115">
        <f t="shared" si="45"/>
        <v>0.33936651583710409</v>
      </c>
      <c r="AE38" s="40">
        <v>221</v>
      </c>
      <c r="AF38" s="3">
        <v>13</v>
      </c>
      <c r="AG38" s="7">
        <f t="shared" si="46"/>
        <v>0.76470588235294112</v>
      </c>
      <c r="AH38" s="3">
        <v>17</v>
      </c>
      <c r="AI38" s="41">
        <f t="shared" si="54"/>
        <v>518</v>
      </c>
      <c r="AJ38" s="7">
        <f t="shared" si="55"/>
        <v>1.3940845601098043E-2</v>
      </c>
      <c r="AK38" s="44">
        <f t="shared" si="56"/>
        <v>37157</v>
      </c>
      <c r="AL38" s="117">
        <f t="shared" si="57"/>
        <v>0.16838635176022038</v>
      </c>
      <c r="AM38" s="115">
        <f t="shared" si="58"/>
        <v>0.49541012733195144</v>
      </c>
      <c r="AN38" s="7">
        <f t="shared" si="59"/>
        <v>0.86637931034482762</v>
      </c>
      <c r="AO38" s="171">
        <f t="shared" si="60"/>
        <v>0.1704163776875062</v>
      </c>
      <c r="AP38" s="63">
        <f t="shared" si="61"/>
        <v>137601</v>
      </c>
      <c r="AQ38" s="3">
        <f t="shared" si="62"/>
        <v>807440</v>
      </c>
      <c r="AR38" s="116">
        <f t="shared" si="63"/>
        <v>775045</v>
      </c>
      <c r="AS38" s="3">
        <f t="shared" si="64"/>
        <v>13508</v>
      </c>
      <c r="AT38" s="26">
        <f t="shared" si="65"/>
        <v>464</v>
      </c>
    </row>
    <row r="39" spans="1:46" x14ac:dyDescent="0.15">
      <c r="A39" s="146">
        <v>42583</v>
      </c>
      <c r="B39" s="3">
        <v>10998</v>
      </c>
      <c r="C39" s="115">
        <f t="shared" si="41"/>
        <v>8.7799270335214702E-2</v>
      </c>
      <c r="D39" s="3">
        <v>125263</v>
      </c>
      <c r="E39" s="178">
        <v>831</v>
      </c>
      <c r="F39" s="115">
        <f t="shared" si="42"/>
        <v>0.45286103542234335</v>
      </c>
      <c r="G39" s="3">
        <v>1835</v>
      </c>
      <c r="H39" s="178">
        <v>35</v>
      </c>
      <c r="I39" s="115">
        <f t="shared" si="43"/>
        <v>0.74468085106382975</v>
      </c>
      <c r="J39" s="3">
        <v>47</v>
      </c>
      <c r="K39" s="195">
        <f t="shared" si="48"/>
        <v>11864</v>
      </c>
      <c r="L39" s="115">
        <f t="shared" si="50"/>
        <v>9.3310786896850059E-2</v>
      </c>
      <c r="M39" s="23">
        <f t="shared" si="49"/>
        <v>127145</v>
      </c>
      <c r="N39" s="3">
        <f>108014+38909+678</f>
        <v>147601</v>
      </c>
      <c r="O39" s="67">
        <f t="shared" si="47"/>
        <v>0.2397357726878486</v>
      </c>
      <c r="P39" s="174">
        <f>553479+56265+5938</f>
        <v>615682</v>
      </c>
      <c r="Q39" s="68">
        <v>6029</v>
      </c>
      <c r="R39" s="67">
        <f t="shared" si="27"/>
        <v>0.49507308260798161</v>
      </c>
      <c r="S39" s="40">
        <v>12178</v>
      </c>
      <c r="T39" s="68">
        <v>390</v>
      </c>
      <c r="U39" s="67">
        <f t="shared" si="28"/>
        <v>0.88636363636363635</v>
      </c>
      <c r="V39" s="40">
        <v>440</v>
      </c>
      <c r="W39" s="63">
        <f t="shared" si="51"/>
        <v>154020</v>
      </c>
      <c r="X39" s="67">
        <f t="shared" si="52"/>
        <v>0.24513767308610537</v>
      </c>
      <c r="Y39" s="26">
        <f t="shared" si="53"/>
        <v>628300</v>
      </c>
      <c r="Z39" s="3">
        <v>481</v>
      </c>
      <c r="AA39" s="115">
        <f t="shared" si="44"/>
        <v>1.273126703898785E-2</v>
      </c>
      <c r="AB39" s="40">
        <v>37781</v>
      </c>
      <c r="AC39" s="3">
        <v>73</v>
      </c>
      <c r="AD39" s="115">
        <f t="shared" si="45"/>
        <v>0.39890710382513661</v>
      </c>
      <c r="AE39" s="40">
        <v>183</v>
      </c>
      <c r="AF39" s="3">
        <v>12</v>
      </c>
      <c r="AG39" s="7">
        <f t="shared" si="46"/>
        <v>0.92307692307692313</v>
      </c>
      <c r="AH39" s="3">
        <v>13</v>
      </c>
      <c r="AI39" s="41">
        <f t="shared" si="54"/>
        <v>566</v>
      </c>
      <c r="AJ39" s="7">
        <f t="shared" si="55"/>
        <v>1.4903757537456881E-2</v>
      </c>
      <c r="AK39" s="44">
        <f t="shared" si="56"/>
        <v>37977</v>
      </c>
      <c r="AL39" s="117">
        <f t="shared" si="57"/>
        <v>0.20428237916802572</v>
      </c>
      <c r="AM39" s="115">
        <f t="shared" si="58"/>
        <v>0.48837700760777686</v>
      </c>
      <c r="AN39" s="7">
        <f t="shared" si="59"/>
        <v>0.874</v>
      </c>
      <c r="AO39" s="171">
        <f t="shared" si="60"/>
        <v>0.20491929417645097</v>
      </c>
      <c r="AP39" s="63">
        <f t="shared" si="61"/>
        <v>166450</v>
      </c>
      <c r="AQ39" s="3">
        <f t="shared" si="62"/>
        <v>812271</v>
      </c>
      <c r="AR39" s="116">
        <f t="shared" si="63"/>
        <v>778726</v>
      </c>
      <c r="AS39" s="3">
        <f t="shared" si="64"/>
        <v>14196</v>
      </c>
      <c r="AT39" s="26">
        <f t="shared" si="65"/>
        <v>500</v>
      </c>
    </row>
    <row r="40" spans="1:46" x14ac:dyDescent="0.15">
      <c r="A40" s="146">
        <v>42552</v>
      </c>
      <c r="B40" s="3">
        <v>10914</v>
      </c>
      <c r="C40" s="115">
        <f t="shared" si="41"/>
        <v>8.7295239314051698E-2</v>
      </c>
      <c r="D40" s="3">
        <v>125024</v>
      </c>
      <c r="E40" s="178">
        <v>838</v>
      </c>
      <c r="F40" s="115">
        <f t="shared" si="42"/>
        <v>0.45593035908596302</v>
      </c>
      <c r="G40" s="3">
        <v>1838</v>
      </c>
      <c r="H40" s="178">
        <v>34</v>
      </c>
      <c r="I40" s="115">
        <f t="shared" si="43"/>
        <v>0.72340425531914898</v>
      </c>
      <c r="J40" s="3">
        <v>47</v>
      </c>
      <c r="K40" s="195">
        <f t="shared" si="48"/>
        <v>11786</v>
      </c>
      <c r="L40" s="115">
        <f t="shared" si="50"/>
        <v>9.2869694032732111E-2</v>
      </c>
      <c r="M40" s="23">
        <f t="shared" si="49"/>
        <v>126909</v>
      </c>
      <c r="N40" s="3">
        <f>101943+15792+629</f>
        <v>118364</v>
      </c>
      <c r="O40" s="67">
        <f t="shared" si="47"/>
        <v>0.1942670507233889</v>
      </c>
      <c r="P40" s="174">
        <f>553155+51007+5123</f>
        <v>609285</v>
      </c>
      <c r="Q40" s="68">
        <v>5394</v>
      </c>
      <c r="R40" s="67">
        <f t="shared" si="27"/>
        <v>0.49641082274986198</v>
      </c>
      <c r="S40" s="40">
        <v>10866</v>
      </c>
      <c r="T40" s="68">
        <v>321</v>
      </c>
      <c r="U40" s="67">
        <f t="shared" si="28"/>
        <v>0.89415041782729809</v>
      </c>
      <c r="V40" s="40">
        <v>359</v>
      </c>
      <c r="W40" s="63">
        <f t="shared" si="51"/>
        <v>124079</v>
      </c>
      <c r="X40" s="67">
        <f t="shared" si="52"/>
        <v>0.19996293371581442</v>
      </c>
      <c r="Y40" s="26">
        <f t="shared" si="53"/>
        <v>620510</v>
      </c>
      <c r="Z40" s="3">
        <v>253</v>
      </c>
      <c r="AA40" s="115">
        <f t="shared" si="44"/>
        <v>7.1215447841017849E-3</v>
      </c>
      <c r="AB40" s="40">
        <v>35526</v>
      </c>
      <c r="AC40" s="3">
        <v>55</v>
      </c>
      <c r="AD40" s="115">
        <f t="shared" si="45"/>
        <v>0.31791907514450868</v>
      </c>
      <c r="AE40" s="40">
        <v>173</v>
      </c>
      <c r="AF40" s="3">
        <v>12</v>
      </c>
      <c r="AG40" s="7">
        <f t="shared" si="46"/>
        <v>0.8571428571428571</v>
      </c>
      <c r="AH40" s="3">
        <v>14</v>
      </c>
      <c r="AI40" s="41">
        <f t="shared" si="54"/>
        <v>320</v>
      </c>
      <c r="AJ40" s="7">
        <f t="shared" si="55"/>
        <v>8.9603225716125782E-3</v>
      </c>
      <c r="AK40" s="44">
        <f t="shared" si="56"/>
        <v>35713</v>
      </c>
      <c r="AL40" s="117">
        <f t="shared" si="57"/>
        <v>0.16825813323634287</v>
      </c>
      <c r="AM40" s="115">
        <f t="shared" si="58"/>
        <v>0.4882348373068261</v>
      </c>
      <c r="AN40" s="7">
        <f t="shared" si="59"/>
        <v>0.87380952380952381</v>
      </c>
      <c r="AO40" s="171">
        <f t="shared" si="60"/>
        <v>0.17002870330718531</v>
      </c>
      <c r="AP40" s="63">
        <f t="shared" si="61"/>
        <v>136185</v>
      </c>
      <c r="AQ40" s="3">
        <f t="shared" si="62"/>
        <v>800953</v>
      </c>
      <c r="AR40" s="116">
        <f t="shared" si="63"/>
        <v>769835</v>
      </c>
      <c r="AS40" s="3">
        <f t="shared" si="64"/>
        <v>12877</v>
      </c>
      <c r="AT40" s="26">
        <f t="shared" si="65"/>
        <v>420</v>
      </c>
    </row>
    <row r="41" spans="1:46" x14ac:dyDescent="0.15">
      <c r="A41" s="146">
        <v>42522</v>
      </c>
      <c r="B41" s="3">
        <v>10623</v>
      </c>
      <c r="C41" s="115">
        <f t="shared" si="41"/>
        <v>8.5649323948431416E-2</v>
      </c>
      <c r="D41" s="3">
        <v>124029</v>
      </c>
      <c r="E41" s="178">
        <v>835</v>
      </c>
      <c r="F41" s="115">
        <f t="shared" si="42"/>
        <v>0.4585392641405821</v>
      </c>
      <c r="G41" s="3">
        <v>1821</v>
      </c>
      <c r="H41" s="178">
        <v>35</v>
      </c>
      <c r="I41" s="115">
        <f t="shared" si="43"/>
        <v>0.74468085106382975</v>
      </c>
      <c r="J41" s="3">
        <v>47</v>
      </c>
      <c r="K41" s="195">
        <f t="shared" si="48"/>
        <v>11493</v>
      </c>
      <c r="L41" s="115">
        <f t="shared" si="50"/>
        <v>9.1288910776269494E-2</v>
      </c>
      <c r="M41" s="23">
        <f t="shared" si="49"/>
        <v>125897</v>
      </c>
      <c r="N41" s="3">
        <f>103149+16693+626</f>
        <v>120468</v>
      </c>
      <c r="O41" s="67">
        <f t="shared" si="47"/>
        <v>0.19677883044756617</v>
      </c>
      <c r="P41" s="174">
        <f>552859+53689+5652</f>
        <v>612200</v>
      </c>
      <c r="Q41" s="68">
        <v>5726</v>
      </c>
      <c r="R41" s="67">
        <f t="shared" si="27"/>
        <v>0.4959722823733218</v>
      </c>
      <c r="S41" s="40">
        <v>11545</v>
      </c>
      <c r="T41" s="68">
        <v>370</v>
      </c>
      <c r="U41" s="67">
        <f t="shared" si="28"/>
        <v>0.89588377723970947</v>
      </c>
      <c r="V41" s="40">
        <v>413</v>
      </c>
      <c r="W41" s="63">
        <f t="shared" si="51"/>
        <v>126564</v>
      </c>
      <c r="X41" s="67">
        <f t="shared" si="52"/>
        <v>0.20277557926037959</v>
      </c>
      <c r="Y41" s="26">
        <f t="shared" si="53"/>
        <v>624158</v>
      </c>
      <c r="Z41" s="3">
        <v>249</v>
      </c>
      <c r="AA41" s="115">
        <f t="shared" si="44"/>
        <v>6.7195595854922276E-3</v>
      </c>
      <c r="AB41" s="40">
        <v>37056</v>
      </c>
      <c r="AC41" s="3">
        <v>63</v>
      </c>
      <c r="AD41" s="115">
        <f t="shared" si="45"/>
        <v>0.33510638297872342</v>
      </c>
      <c r="AE41" s="40">
        <v>188</v>
      </c>
      <c r="AF41" s="3">
        <v>12</v>
      </c>
      <c r="AG41" s="7">
        <f t="shared" si="46"/>
        <v>0.8571428571428571</v>
      </c>
      <c r="AH41" s="3">
        <v>14</v>
      </c>
      <c r="AI41" s="41">
        <f t="shared" si="54"/>
        <v>324</v>
      </c>
      <c r="AJ41" s="7">
        <f t="shared" si="55"/>
        <v>8.6961189543185349E-3</v>
      </c>
      <c r="AK41" s="44">
        <f t="shared" si="56"/>
        <v>37258</v>
      </c>
      <c r="AL41" s="117">
        <f t="shared" si="57"/>
        <v>0.1698468223229469</v>
      </c>
      <c r="AM41" s="115">
        <f t="shared" si="58"/>
        <v>0.48871181938911024</v>
      </c>
      <c r="AN41" s="7">
        <f t="shared" si="59"/>
        <v>0.879746835443038</v>
      </c>
      <c r="AO41" s="171">
        <f t="shared" si="60"/>
        <v>0.1718536162518349</v>
      </c>
      <c r="AP41" s="63">
        <f t="shared" si="61"/>
        <v>138381</v>
      </c>
      <c r="AQ41" s="3">
        <f t="shared" si="62"/>
        <v>805226</v>
      </c>
      <c r="AR41" s="116">
        <f t="shared" si="63"/>
        <v>773285</v>
      </c>
      <c r="AS41" s="3">
        <f t="shared" si="64"/>
        <v>13554</v>
      </c>
      <c r="AT41" s="26">
        <f t="shared" si="65"/>
        <v>474</v>
      </c>
    </row>
    <row r="42" spans="1:46" ht="13.5" customHeight="1" x14ac:dyDescent="0.15">
      <c r="A42" s="146">
        <v>42491</v>
      </c>
      <c r="B42" s="3">
        <v>10587</v>
      </c>
      <c r="C42" s="186">
        <f t="shared" ref="C42:C95" si="66">B42/D42</f>
        <v>8.5547367400368474E-2</v>
      </c>
      <c r="D42" s="4">
        <v>123756</v>
      </c>
      <c r="E42" s="187">
        <v>788</v>
      </c>
      <c r="F42" s="188">
        <f t="shared" ref="F42:F95" si="67">E42/G42</f>
        <v>0.45105895821408126</v>
      </c>
      <c r="G42" s="4">
        <v>1747</v>
      </c>
      <c r="H42" s="187">
        <v>35</v>
      </c>
      <c r="I42" s="188">
        <f t="shared" ref="I42:I95" si="68">H42/J42</f>
        <v>0.74468085106382975</v>
      </c>
      <c r="J42" s="4">
        <v>47</v>
      </c>
      <c r="K42" s="195">
        <f t="shared" ref="K42:K49" si="69">+H42+E42+B42</f>
        <v>11410</v>
      </c>
      <c r="L42" s="115">
        <f t="shared" si="50"/>
        <v>9.0880127439267225E-2</v>
      </c>
      <c r="M42" s="23">
        <f t="shared" ref="M42:M49" si="70">+J42+G42+D42</f>
        <v>125550</v>
      </c>
      <c r="N42" s="3">
        <f>677+17407+108271</f>
        <v>126355</v>
      </c>
      <c r="O42" s="67">
        <f t="shared" si="47"/>
        <v>0.20568337571095099</v>
      </c>
      <c r="P42" s="174">
        <f>552785+55695+5838</f>
        <v>614318</v>
      </c>
      <c r="Q42" s="68">
        <v>6029</v>
      </c>
      <c r="R42" s="67">
        <f t="shared" si="27"/>
        <v>0.49756540397788229</v>
      </c>
      <c r="S42" s="40">
        <v>12117</v>
      </c>
      <c r="T42" s="68">
        <v>383</v>
      </c>
      <c r="U42" s="67">
        <f t="shared" si="28"/>
        <v>0.89485981308411211</v>
      </c>
      <c r="V42" s="40">
        <v>428</v>
      </c>
      <c r="W42" s="63">
        <f t="shared" si="51"/>
        <v>132767</v>
      </c>
      <c r="X42" s="67">
        <f t="shared" si="52"/>
        <v>0.21179587884434078</v>
      </c>
      <c r="Y42" s="26">
        <f t="shared" si="53"/>
        <v>626863</v>
      </c>
      <c r="Z42" s="3">
        <v>294</v>
      </c>
      <c r="AA42" s="115">
        <f t="shared" ref="AA42:AA95" si="71">Z42/AB42</f>
        <v>7.7984084880636604E-3</v>
      </c>
      <c r="AB42" s="40">
        <v>37700</v>
      </c>
      <c r="AC42" s="3">
        <v>64</v>
      </c>
      <c r="AD42" s="115">
        <f t="shared" ref="AD42:AD95" si="72">AC42/AE42</f>
        <v>0.34972677595628415</v>
      </c>
      <c r="AE42" s="40">
        <v>183</v>
      </c>
      <c r="AF42" s="3">
        <v>12</v>
      </c>
      <c r="AG42" s="7">
        <f t="shared" ref="AG42:AG95" si="73">AF42/AH42</f>
        <v>0.92307692307692313</v>
      </c>
      <c r="AH42" s="3">
        <v>13</v>
      </c>
      <c r="AI42" s="41">
        <f t="shared" si="54"/>
        <v>370</v>
      </c>
      <c r="AJ42" s="7">
        <f t="shared" si="55"/>
        <v>9.7635634367743297E-3</v>
      </c>
      <c r="AK42" s="44">
        <f t="shared" si="56"/>
        <v>37896</v>
      </c>
      <c r="AL42" s="117">
        <f t="shared" si="57"/>
        <v>0.17690203590220863</v>
      </c>
      <c r="AM42" s="115">
        <f t="shared" si="58"/>
        <v>0.48985548515697303</v>
      </c>
      <c r="AN42" s="7">
        <f t="shared" si="59"/>
        <v>0.88114754098360659</v>
      </c>
      <c r="AO42" s="171">
        <f t="shared" si="60"/>
        <v>0.17878394708231654</v>
      </c>
      <c r="AP42" s="63">
        <f t="shared" si="61"/>
        <v>144547</v>
      </c>
      <c r="AQ42" s="3">
        <f t="shared" si="62"/>
        <v>808501</v>
      </c>
      <c r="AR42" s="116">
        <f t="shared" si="63"/>
        <v>775774</v>
      </c>
      <c r="AS42" s="3">
        <f t="shared" si="64"/>
        <v>14047</v>
      </c>
      <c r="AT42" s="26">
        <f t="shared" si="65"/>
        <v>488</v>
      </c>
    </row>
    <row r="43" spans="1:46" x14ac:dyDescent="0.15">
      <c r="A43" s="146">
        <v>42461</v>
      </c>
      <c r="B43" s="3">
        <v>10569</v>
      </c>
      <c r="C43" s="115">
        <f t="shared" si="66"/>
        <v>8.5690657456279032E-2</v>
      </c>
      <c r="D43" s="3">
        <v>123339</v>
      </c>
      <c r="E43" s="178">
        <v>841</v>
      </c>
      <c r="F43" s="115">
        <f t="shared" si="67"/>
        <v>0.46464088397790054</v>
      </c>
      <c r="G43" s="3">
        <v>1810</v>
      </c>
      <c r="H43" s="178">
        <v>35</v>
      </c>
      <c r="I43" s="115">
        <f t="shared" si="68"/>
        <v>0.74468085106382975</v>
      </c>
      <c r="J43" s="3">
        <v>47</v>
      </c>
      <c r="K43" s="195">
        <f t="shared" si="69"/>
        <v>11445</v>
      </c>
      <c r="L43" s="115">
        <f t="shared" si="50"/>
        <v>9.1416658679191035E-2</v>
      </c>
      <c r="M43" s="23">
        <f t="shared" si="70"/>
        <v>125196</v>
      </c>
      <c r="N43" s="3">
        <v>119726</v>
      </c>
      <c r="O43" s="67">
        <f t="shared" ref="O43:O95" si="74">N43/P43</f>
        <v>0.19643958784537638</v>
      </c>
      <c r="P43" s="174">
        <v>609480</v>
      </c>
      <c r="Q43" s="68">
        <v>5402</v>
      </c>
      <c r="R43" s="67">
        <f t="shared" ref="R43:R95" si="75">Q43/S43</f>
        <v>0.49319821053592622</v>
      </c>
      <c r="S43" s="40">
        <v>10953</v>
      </c>
      <c r="T43" s="68">
        <v>317</v>
      </c>
      <c r="U43" s="67">
        <f t="shared" ref="U43:U95" si="76">T43/V43</f>
        <v>0.89295774647887327</v>
      </c>
      <c r="V43" s="40">
        <v>355</v>
      </c>
      <c r="W43" s="63">
        <f t="shared" ref="W43:W49" si="77">+T43+Q43+N43</f>
        <v>125445</v>
      </c>
      <c r="X43" s="67">
        <f>W43/Y43</f>
        <v>0.20207381585984266</v>
      </c>
      <c r="Y43" s="26">
        <f t="shared" ref="Y43:Y49" si="78">+V43+S43+P43</f>
        <v>620788</v>
      </c>
      <c r="Z43" s="3">
        <v>251</v>
      </c>
      <c r="AA43" s="115">
        <f t="shared" si="71"/>
        <v>7.020193544778207E-3</v>
      </c>
      <c r="AB43" s="40">
        <v>35754</v>
      </c>
      <c r="AC43" s="3">
        <v>55</v>
      </c>
      <c r="AD43" s="115">
        <f t="shared" si="72"/>
        <v>0.30555555555555558</v>
      </c>
      <c r="AE43" s="40">
        <v>180</v>
      </c>
      <c r="AF43" s="3">
        <v>12</v>
      </c>
      <c r="AG43" s="7">
        <f t="shared" si="73"/>
        <v>0.8571428571428571</v>
      </c>
      <c r="AH43" s="3">
        <v>14</v>
      </c>
      <c r="AI43" s="41">
        <f t="shared" ref="AI43:AI49" si="79">+AF43+AC43+Z43</f>
        <v>318</v>
      </c>
      <c r="AJ43" s="7">
        <f>AI43/AK43</f>
        <v>8.8461110492934238E-3</v>
      </c>
      <c r="AK43" s="44">
        <f t="shared" ref="AK43:AK49" si="80">+AH43+AE43+AB43</f>
        <v>35948</v>
      </c>
      <c r="AL43" s="117">
        <f t="shared" ref="AL43:AL49" si="81">(B43+N43+Z43)/AR43</f>
        <v>0.16985504304730975</v>
      </c>
      <c r="AM43" s="115">
        <f t="shared" ref="AM43:AM49" si="82">(E43+Q43+AC43)/AS43</f>
        <v>0.48659507069458396</v>
      </c>
      <c r="AN43" s="7">
        <f t="shared" ref="AN43:AN49" si="83">(H43+T43+AF43)/AT43</f>
        <v>0.875</v>
      </c>
      <c r="AO43" s="171">
        <f t="shared" ref="AO43:AO49" si="84">AP43/AQ43</f>
        <v>0.17163572316721998</v>
      </c>
      <c r="AP43" s="63">
        <f t="shared" ref="AP43:AP49" si="85">AF43+AC43+Z43+T43+Q43+N43+H43+E43+B43</f>
        <v>137208</v>
      </c>
      <c r="AQ43" s="3">
        <f t="shared" ref="AQ43:AQ49" si="86">AH43+AF43+AE43+AC43+Z43+AB43+V43+T43+S43+Q43+P43+J43+H43+G43+E43+D43+B43</f>
        <v>799414</v>
      </c>
      <c r="AR43" s="116">
        <f t="shared" ref="AR43:AR49" si="87">+D43+P43+AB43</f>
        <v>768573</v>
      </c>
      <c r="AS43" s="3">
        <f t="shared" ref="AS43:AS49" si="88">G43+S43+AE43</f>
        <v>12943</v>
      </c>
      <c r="AT43" s="26">
        <f t="shared" ref="AT43:AT49" si="89">J43+V43+AH43</f>
        <v>416</v>
      </c>
    </row>
    <row r="44" spans="1:46" x14ac:dyDescent="0.15">
      <c r="A44" s="146">
        <v>42430</v>
      </c>
      <c r="B44" s="3">
        <v>10544</v>
      </c>
      <c r="C44" s="115">
        <f t="shared" si="66"/>
        <v>8.5517084762808504E-2</v>
      </c>
      <c r="D44" s="3">
        <v>123297</v>
      </c>
      <c r="E44" s="178">
        <v>833</v>
      </c>
      <c r="F44" s="115">
        <f t="shared" si="67"/>
        <v>0.45895316804407715</v>
      </c>
      <c r="G44" s="3">
        <v>1815</v>
      </c>
      <c r="H44" s="178">
        <v>35</v>
      </c>
      <c r="I44" s="115">
        <f t="shared" si="68"/>
        <v>0.74468085106382975</v>
      </c>
      <c r="J44" s="3">
        <v>47</v>
      </c>
      <c r="K44" s="195">
        <f t="shared" si="69"/>
        <v>11412</v>
      </c>
      <c r="L44" s="115">
        <f t="shared" si="50"/>
        <v>9.1180019015811881E-2</v>
      </c>
      <c r="M44" s="23">
        <f t="shared" si="70"/>
        <v>125159</v>
      </c>
      <c r="N44" s="3">
        <v>127380</v>
      </c>
      <c r="O44" s="67">
        <f t="shared" si="74"/>
        <v>0.2071071337985575</v>
      </c>
      <c r="P44" s="174">
        <v>615044</v>
      </c>
      <c r="Q44" s="68">
        <v>6007</v>
      </c>
      <c r="R44" s="67">
        <f t="shared" si="75"/>
        <v>0.49367192636423407</v>
      </c>
      <c r="S44" s="40">
        <v>12168</v>
      </c>
      <c r="T44" s="68">
        <v>392</v>
      </c>
      <c r="U44" s="67">
        <f t="shared" si="76"/>
        <v>0.89090909090909087</v>
      </c>
      <c r="V44" s="40">
        <v>440</v>
      </c>
      <c r="W44" s="63">
        <f t="shared" si="77"/>
        <v>133779</v>
      </c>
      <c r="X44" s="67">
        <f>W44/Y44</f>
        <v>0.21314199588306895</v>
      </c>
      <c r="Y44" s="26">
        <f t="shared" si="78"/>
        <v>627652</v>
      </c>
      <c r="Z44" s="3">
        <v>251</v>
      </c>
      <c r="AA44" s="115">
        <f t="shared" si="71"/>
        <v>7.0174457615745922E-3</v>
      </c>
      <c r="AB44" s="40">
        <v>35768</v>
      </c>
      <c r="AC44" s="3">
        <v>63</v>
      </c>
      <c r="AD44" s="115">
        <f t="shared" si="72"/>
        <v>0.33333333333333331</v>
      </c>
      <c r="AE44" s="40">
        <v>189</v>
      </c>
      <c r="AF44" s="3">
        <v>12</v>
      </c>
      <c r="AG44" s="7">
        <f t="shared" si="73"/>
        <v>0.8571428571428571</v>
      </c>
      <c r="AH44" s="3">
        <v>14</v>
      </c>
      <c r="AI44" s="41">
        <f t="shared" si="79"/>
        <v>326</v>
      </c>
      <c r="AJ44" s="7">
        <f>AI44/AK44</f>
        <v>9.0628561897083768E-3</v>
      </c>
      <c r="AK44" s="44">
        <f t="shared" si="80"/>
        <v>35971</v>
      </c>
      <c r="AL44" s="117">
        <f t="shared" si="81"/>
        <v>0.17849553486653688</v>
      </c>
      <c r="AM44" s="115">
        <f t="shared" si="82"/>
        <v>0.48708721422523288</v>
      </c>
      <c r="AN44" s="7">
        <f t="shared" si="83"/>
        <v>0.87624750499001991</v>
      </c>
      <c r="AO44" s="171">
        <f t="shared" si="84"/>
        <v>0.1803365641408865</v>
      </c>
      <c r="AP44" s="63">
        <f t="shared" si="85"/>
        <v>145517</v>
      </c>
      <c r="AQ44" s="3">
        <f t="shared" si="86"/>
        <v>806919</v>
      </c>
      <c r="AR44" s="116">
        <f t="shared" si="87"/>
        <v>774109</v>
      </c>
      <c r="AS44" s="3">
        <f t="shared" si="88"/>
        <v>14172</v>
      </c>
      <c r="AT44" s="26">
        <f t="shared" si="89"/>
        <v>501</v>
      </c>
    </row>
    <row r="45" spans="1:46" x14ac:dyDescent="0.15">
      <c r="A45" s="146">
        <v>42401</v>
      </c>
      <c r="B45" s="3">
        <v>10481</v>
      </c>
      <c r="C45" s="115">
        <f t="shared" si="66"/>
        <v>8.5129712958300172E-2</v>
      </c>
      <c r="D45" s="3">
        <v>123118</v>
      </c>
      <c r="E45" s="178">
        <v>830</v>
      </c>
      <c r="F45" s="115">
        <f t="shared" si="67"/>
        <v>0.45730027548209368</v>
      </c>
      <c r="G45" s="3">
        <v>1815</v>
      </c>
      <c r="H45" s="178">
        <v>35</v>
      </c>
      <c r="I45" s="115">
        <f t="shared" si="68"/>
        <v>0.74468085106382975</v>
      </c>
      <c r="J45" s="3">
        <v>47</v>
      </c>
      <c r="K45" s="195">
        <f t="shared" si="69"/>
        <v>11346</v>
      </c>
      <c r="L45" s="115">
        <f t="shared" ref="L45:L50" si="90">K45/M45</f>
        <v>9.0782525204032641E-2</v>
      </c>
      <c r="M45" s="23">
        <f t="shared" si="70"/>
        <v>124980</v>
      </c>
      <c r="N45" s="3">
        <v>120508</v>
      </c>
      <c r="O45" s="67">
        <f t="shared" si="74"/>
        <v>0.19795942840340303</v>
      </c>
      <c r="P45" s="174">
        <v>608751</v>
      </c>
      <c r="Q45" s="68">
        <v>5404</v>
      </c>
      <c r="R45" s="67">
        <f t="shared" si="75"/>
        <v>0.49297573435504471</v>
      </c>
      <c r="S45" s="40">
        <v>10962</v>
      </c>
      <c r="T45" s="68">
        <v>329</v>
      </c>
      <c r="U45" s="67">
        <f t="shared" si="76"/>
        <v>0.88918918918918921</v>
      </c>
      <c r="V45" s="40">
        <v>370</v>
      </c>
      <c r="W45" s="63">
        <f t="shared" si="77"/>
        <v>126241</v>
      </c>
      <c r="X45" s="67">
        <f>W45/Y45</f>
        <v>0.20358726170528785</v>
      </c>
      <c r="Y45" s="26">
        <f t="shared" si="78"/>
        <v>620083</v>
      </c>
      <c r="Z45" s="3">
        <v>253</v>
      </c>
      <c r="AA45" s="115">
        <f t="shared" si="71"/>
        <v>7.071779964221825E-3</v>
      </c>
      <c r="AB45" s="40">
        <v>35776</v>
      </c>
      <c r="AC45" s="3">
        <v>55</v>
      </c>
      <c r="AD45" s="115">
        <f t="shared" si="72"/>
        <v>0.29100529100529099</v>
      </c>
      <c r="AE45" s="40">
        <v>189</v>
      </c>
      <c r="AF45" s="3">
        <v>12</v>
      </c>
      <c r="AG45" s="7">
        <f t="shared" si="73"/>
        <v>0.8571428571428571</v>
      </c>
      <c r="AH45" s="3">
        <v>14</v>
      </c>
      <c r="AI45" s="41">
        <f t="shared" si="79"/>
        <v>320</v>
      </c>
      <c r="AJ45" s="7">
        <f t="shared" ref="AJ45:AJ50" si="91">AI45/AK45</f>
        <v>8.8940771005308651E-3</v>
      </c>
      <c r="AK45" s="44">
        <f t="shared" si="80"/>
        <v>35979</v>
      </c>
      <c r="AL45" s="117">
        <f t="shared" si="81"/>
        <v>0.17096704857062836</v>
      </c>
      <c r="AM45" s="115">
        <f t="shared" si="82"/>
        <v>0.48503779114607437</v>
      </c>
      <c r="AN45" s="7">
        <f t="shared" si="83"/>
        <v>0.87238979118329463</v>
      </c>
      <c r="AO45" s="171">
        <f t="shared" si="84"/>
        <v>0.17272033876015885</v>
      </c>
      <c r="AP45" s="63">
        <f t="shared" si="85"/>
        <v>137907</v>
      </c>
      <c r="AQ45" s="3">
        <f t="shared" si="86"/>
        <v>798441</v>
      </c>
      <c r="AR45" s="116">
        <f t="shared" si="87"/>
        <v>767645</v>
      </c>
      <c r="AS45" s="3">
        <f t="shared" si="88"/>
        <v>12966</v>
      </c>
      <c r="AT45" s="26">
        <f t="shared" si="89"/>
        <v>431</v>
      </c>
    </row>
    <row r="46" spans="1:46" x14ac:dyDescent="0.15">
      <c r="A46" s="146">
        <v>42370</v>
      </c>
      <c r="B46" s="3">
        <v>10221</v>
      </c>
      <c r="C46" s="115">
        <f t="shared" si="66"/>
        <v>8.3165174938974781E-2</v>
      </c>
      <c r="D46" s="3">
        <v>122900</v>
      </c>
      <c r="E46" s="178">
        <v>820</v>
      </c>
      <c r="F46" s="115">
        <f t="shared" si="67"/>
        <v>0.44833242208857299</v>
      </c>
      <c r="G46" s="3">
        <v>1829</v>
      </c>
      <c r="H46" s="178">
        <v>32</v>
      </c>
      <c r="I46" s="115">
        <f t="shared" si="68"/>
        <v>0.68085106382978722</v>
      </c>
      <c r="J46" s="3">
        <v>47</v>
      </c>
      <c r="K46" s="195">
        <f t="shared" si="69"/>
        <v>11073</v>
      </c>
      <c r="L46" s="115">
        <f t="shared" si="90"/>
        <v>8.8743027505289479E-2</v>
      </c>
      <c r="M46" s="23">
        <f t="shared" si="70"/>
        <v>124776</v>
      </c>
      <c r="N46" s="3">
        <v>127504</v>
      </c>
      <c r="O46" s="67">
        <f t="shared" si="74"/>
        <v>0.20865797040259088</v>
      </c>
      <c r="P46" s="174">
        <v>611067</v>
      </c>
      <c r="Q46" s="68">
        <v>5742</v>
      </c>
      <c r="R46" s="67">
        <f t="shared" si="75"/>
        <v>0.49363823933975243</v>
      </c>
      <c r="S46" s="40">
        <v>11632</v>
      </c>
      <c r="T46" s="68">
        <v>354</v>
      </c>
      <c r="U46" s="67">
        <f t="shared" si="76"/>
        <v>0.89168765743073053</v>
      </c>
      <c r="V46" s="40">
        <v>397</v>
      </c>
      <c r="W46" s="63">
        <f t="shared" si="77"/>
        <v>133600</v>
      </c>
      <c r="X46" s="67">
        <f t="shared" ref="X46:X53" si="92">W46/Y46</f>
        <v>0.21441318833694969</v>
      </c>
      <c r="Y46" s="26">
        <f t="shared" si="78"/>
        <v>623096</v>
      </c>
      <c r="Z46" s="3">
        <v>253</v>
      </c>
      <c r="AA46" s="115">
        <f t="shared" si="71"/>
        <v>7.0711870091394397E-3</v>
      </c>
      <c r="AB46" s="40">
        <v>35779</v>
      </c>
      <c r="AC46" s="3">
        <v>55</v>
      </c>
      <c r="AD46" s="115">
        <f t="shared" si="72"/>
        <v>0.31791907514450868</v>
      </c>
      <c r="AE46" s="40">
        <v>173</v>
      </c>
      <c r="AF46" s="3">
        <v>12</v>
      </c>
      <c r="AG46" s="7">
        <f t="shared" si="73"/>
        <v>0.8571428571428571</v>
      </c>
      <c r="AH46" s="3">
        <v>14</v>
      </c>
      <c r="AI46" s="41">
        <f t="shared" si="79"/>
        <v>320</v>
      </c>
      <c r="AJ46" s="7">
        <f t="shared" si="91"/>
        <v>8.8972918867819602E-3</v>
      </c>
      <c r="AK46" s="44">
        <f t="shared" si="80"/>
        <v>35966</v>
      </c>
      <c r="AL46" s="117">
        <f t="shared" si="81"/>
        <v>0.17925133745417318</v>
      </c>
      <c r="AM46" s="115">
        <f t="shared" si="82"/>
        <v>0.48533079067038287</v>
      </c>
      <c r="AN46" s="7">
        <f t="shared" si="83"/>
        <v>0.86899563318777295</v>
      </c>
      <c r="AO46" s="171">
        <f t="shared" si="84"/>
        <v>0.18094111392727313</v>
      </c>
      <c r="AP46" s="63">
        <f t="shared" si="85"/>
        <v>144993</v>
      </c>
      <c r="AQ46" s="3">
        <f t="shared" si="86"/>
        <v>801327</v>
      </c>
      <c r="AR46" s="116">
        <f t="shared" si="87"/>
        <v>769746</v>
      </c>
      <c r="AS46" s="3">
        <f t="shared" si="88"/>
        <v>13634</v>
      </c>
      <c r="AT46" s="26">
        <f t="shared" si="89"/>
        <v>458</v>
      </c>
    </row>
    <row r="47" spans="1:46" x14ac:dyDescent="0.15">
      <c r="A47" s="146">
        <v>42339</v>
      </c>
      <c r="B47" s="3">
        <v>10657</v>
      </c>
      <c r="C47" s="115">
        <f t="shared" si="66"/>
        <v>8.6476354312051668E-2</v>
      </c>
      <c r="D47" s="3">
        <v>123236</v>
      </c>
      <c r="E47" s="178">
        <v>826</v>
      </c>
      <c r="F47" s="115">
        <f t="shared" si="67"/>
        <v>0.44432490586336743</v>
      </c>
      <c r="G47" s="3">
        <v>1859</v>
      </c>
      <c r="H47" s="178">
        <v>33</v>
      </c>
      <c r="I47" s="115">
        <f t="shared" si="68"/>
        <v>0.71739130434782605</v>
      </c>
      <c r="J47" s="3">
        <v>46</v>
      </c>
      <c r="K47" s="195">
        <f t="shared" si="69"/>
        <v>11516</v>
      </c>
      <c r="L47" s="115">
        <f t="shared" si="90"/>
        <v>9.2024196706115502E-2</v>
      </c>
      <c r="M47" s="23">
        <f t="shared" si="70"/>
        <v>125141</v>
      </c>
      <c r="N47" s="3">
        <v>132794</v>
      </c>
      <c r="O47" s="67">
        <f t="shared" si="74"/>
        <v>0.21560617622704617</v>
      </c>
      <c r="P47" s="174">
        <v>615910</v>
      </c>
      <c r="Q47" s="68">
        <v>6244</v>
      </c>
      <c r="R47" s="67">
        <f t="shared" si="75"/>
        <v>0.49254555494202096</v>
      </c>
      <c r="S47" s="40">
        <v>12677</v>
      </c>
      <c r="T47" s="68">
        <v>403</v>
      </c>
      <c r="U47" s="67">
        <f t="shared" si="76"/>
        <v>0.88962472406181015</v>
      </c>
      <c r="V47" s="40">
        <v>453</v>
      </c>
      <c r="W47" s="63">
        <f t="shared" si="77"/>
        <v>139441</v>
      </c>
      <c r="X47" s="67">
        <f t="shared" si="92"/>
        <v>0.22167270761795752</v>
      </c>
      <c r="Y47" s="26">
        <f t="shared" si="78"/>
        <v>629040</v>
      </c>
      <c r="Z47" s="3">
        <v>252</v>
      </c>
      <c r="AA47" s="115">
        <f t="shared" si="71"/>
        <v>7.0400893979606092E-3</v>
      </c>
      <c r="AB47" s="40">
        <v>35795</v>
      </c>
      <c r="AC47" s="3">
        <v>64</v>
      </c>
      <c r="AD47" s="115">
        <f t="shared" si="72"/>
        <v>0.33684210526315789</v>
      </c>
      <c r="AE47" s="40">
        <v>190</v>
      </c>
      <c r="AF47" s="3">
        <v>13</v>
      </c>
      <c r="AG47" s="7">
        <f t="shared" si="73"/>
        <v>0.9285714285714286</v>
      </c>
      <c r="AH47" s="3">
        <v>14</v>
      </c>
      <c r="AI47" s="41">
        <f t="shared" si="79"/>
        <v>329</v>
      </c>
      <c r="AJ47" s="7">
        <f t="shared" si="91"/>
        <v>9.1391427539653878E-3</v>
      </c>
      <c r="AK47" s="44">
        <f t="shared" si="80"/>
        <v>35999</v>
      </c>
      <c r="AL47" s="117">
        <f t="shared" si="81"/>
        <v>0.18543734297191658</v>
      </c>
      <c r="AM47" s="115">
        <f t="shared" si="82"/>
        <v>0.48444927339399702</v>
      </c>
      <c r="AN47" s="7">
        <f t="shared" si="83"/>
        <v>0.87524366471734893</v>
      </c>
      <c r="AO47" s="171">
        <f t="shared" si="84"/>
        <v>0.18707955759566303</v>
      </c>
      <c r="AP47" s="63">
        <f t="shared" si="85"/>
        <v>151286</v>
      </c>
      <c r="AQ47" s="3">
        <f t="shared" si="86"/>
        <v>808672</v>
      </c>
      <c r="AR47" s="116">
        <f t="shared" si="87"/>
        <v>774941</v>
      </c>
      <c r="AS47" s="3">
        <f t="shared" si="88"/>
        <v>14726</v>
      </c>
      <c r="AT47" s="26">
        <f t="shared" si="89"/>
        <v>513</v>
      </c>
    </row>
    <row r="48" spans="1:46" x14ac:dyDescent="0.15">
      <c r="A48" s="146">
        <v>42309</v>
      </c>
      <c r="B48" s="3">
        <v>10800</v>
      </c>
      <c r="C48" s="115">
        <f t="shared" si="66"/>
        <v>8.7248755897369606E-2</v>
      </c>
      <c r="D48" s="3">
        <v>123784</v>
      </c>
      <c r="E48" s="178">
        <v>837</v>
      </c>
      <c r="F48" s="115">
        <f t="shared" si="67"/>
        <v>0.44544970729111227</v>
      </c>
      <c r="G48" s="3">
        <v>1879</v>
      </c>
      <c r="H48" s="178">
        <v>33</v>
      </c>
      <c r="I48" s="115">
        <f t="shared" si="68"/>
        <v>0.73333333333333328</v>
      </c>
      <c r="J48" s="3">
        <v>45</v>
      </c>
      <c r="K48" s="195">
        <f t="shared" si="69"/>
        <v>11670</v>
      </c>
      <c r="L48" s="115">
        <f t="shared" si="90"/>
        <v>9.2834187163903653E-2</v>
      </c>
      <c r="M48" s="23">
        <f t="shared" si="70"/>
        <v>125708</v>
      </c>
      <c r="N48" s="3">
        <v>119579</v>
      </c>
      <c r="O48" s="67">
        <f t="shared" si="74"/>
        <v>0.19784843405907043</v>
      </c>
      <c r="P48" s="174">
        <v>604397</v>
      </c>
      <c r="Q48" s="68">
        <v>5046</v>
      </c>
      <c r="R48" s="67">
        <f t="shared" si="75"/>
        <v>0.48472622478386168</v>
      </c>
      <c r="S48" s="40">
        <v>10410</v>
      </c>
      <c r="T48" s="68">
        <v>298</v>
      </c>
      <c r="U48" s="67">
        <f t="shared" si="76"/>
        <v>0.87647058823529411</v>
      </c>
      <c r="V48" s="40">
        <v>340</v>
      </c>
      <c r="W48" s="63">
        <f t="shared" si="77"/>
        <v>124923</v>
      </c>
      <c r="X48" s="67">
        <f t="shared" si="92"/>
        <v>0.20307828860418728</v>
      </c>
      <c r="Y48" s="26">
        <f t="shared" si="78"/>
        <v>615147</v>
      </c>
      <c r="Z48" s="3">
        <v>233</v>
      </c>
      <c r="AA48" s="115">
        <f t="shared" si="71"/>
        <v>6.5032935134531648E-3</v>
      </c>
      <c r="AB48" s="40">
        <v>35828</v>
      </c>
      <c r="AC48" s="3">
        <v>47</v>
      </c>
      <c r="AD48" s="115">
        <f t="shared" si="72"/>
        <v>0.24479166666666666</v>
      </c>
      <c r="AE48" s="40">
        <v>192</v>
      </c>
      <c r="AF48" s="3">
        <v>12</v>
      </c>
      <c r="AG48" s="7">
        <f t="shared" si="73"/>
        <v>0.8571428571428571</v>
      </c>
      <c r="AH48" s="3">
        <v>14</v>
      </c>
      <c r="AI48" s="41">
        <f t="shared" si="79"/>
        <v>292</v>
      </c>
      <c r="AJ48" s="7">
        <f t="shared" si="91"/>
        <v>8.1034578453682629E-3</v>
      </c>
      <c r="AK48" s="44">
        <f t="shared" si="80"/>
        <v>36034</v>
      </c>
      <c r="AL48" s="117">
        <f t="shared" si="81"/>
        <v>0.17095610130247157</v>
      </c>
      <c r="AM48" s="115">
        <f t="shared" si="82"/>
        <v>0.47512218572229792</v>
      </c>
      <c r="AN48" s="7">
        <f t="shared" si="83"/>
        <v>0.85964912280701755</v>
      </c>
      <c r="AO48" s="171">
        <f t="shared" si="84"/>
        <v>0.17235691486347812</v>
      </c>
      <c r="AP48" s="63">
        <f t="shared" si="85"/>
        <v>136885</v>
      </c>
      <c r="AQ48" s="3">
        <f t="shared" si="86"/>
        <v>794195</v>
      </c>
      <c r="AR48" s="116">
        <f t="shared" si="87"/>
        <v>764009</v>
      </c>
      <c r="AS48" s="3">
        <f t="shared" si="88"/>
        <v>12481</v>
      </c>
      <c r="AT48" s="26">
        <f t="shared" si="89"/>
        <v>399</v>
      </c>
    </row>
    <row r="49" spans="1:46" x14ac:dyDescent="0.15">
      <c r="A49" s="146">
        <v>42278</v>
      </c>
      <c r="B49" s="3">
        <v>10875</v>
      </c>
      <c r="C49" s="115">
        <f t="shared" si="66"/>
        <v>8.7710808391202308E-2</v>
      </c>
      <c r="D49" s="3">
        <v>123987</v>
      </c>
      <c r="E49" s="178">
        <v>839</v>
      </c>
      <c r="F49" s="115">
        <f t="shared" si="67"/>
        <v>0.4460393407761829</v>
      </c>
      <c r="G49" s="3">
        <v>1881</v>
      </c>
      <c r="H49" s="178">
        <v>33</v>
      </c>
      <c r="I49" s="115">
        <f t="shared" si="68"/>
        <v>0.73333333333333328</v>
      </c>
      <c r="J49" s="3">
        <v>45</v>
      </c>
      <c r="K49" s="195">
        <f t="shared" si="69"/>
        <v>11747</v>
      </c>
      <c r="L49" s="115">
        <f t="shared" si="90"/>
        <v>9.3294576413873065E-2</v>
      </c>
      <c r="M49" s="23">
        <f t="shared" si="70"/>
        <v>125913</v>
      </c>
      <c r="N49" s="3">
        <v>131076</v>
      </c>
      <c r="O49" s="67">
        <f t="shared" si="74"/>
        <v>0.21526758176246269</v>
      </c>
      <c r="P49" s="174">
        <v>608898</v>
      </c>
      <c r="Q49" s="68">
        <v>5669</v>
      </c>
      <c r="R49" s="67">
        <f t="shared" si="75"/>
        <v>0.48984705780696447</v>
      </c>
      <c r="S49" s="40">
        <v>11573</v>
      </c>
      <c r="T49" s="68">
        <v>358</v>
      </c>
      <c r="U49" s="67">
        <f t="shared" si="76"/>
        <v>0.88177339901477836</v>
      </c>
      <c r="V49" s="40">
        <v>406</v>
      </c>
      <c r="W49" s="63">
        <f t="shared" si="77"/>
        <v>137103</v>
      </c>
      <c r="X49" s="67">
        <f t="shared" si="92"/>
        <v>0.22082151537261002</v>
      </c>
      <c r="Y49" s="26">
        <f t="shared" si="78"/>
        <v>620877</v>
      </c>
      <c r="Z49" s="3">
        <v>170</v>
      </c>
      <c r="AA49" s="115">
        <f t="shared" si="71"/>
        <v>4.7339255381359472E-3</v>
      </c>
      <c r="AB49" s="40">
        <v>35911</v>
      </c>
      <c r="AC49" s="3">
        <v>31</v>
      </c>
      <c r="AD49" s="115">
        <f t="shared" si="72"/>
        <v>0.16939890710382513</v>
      </c>
      <c r="AE49" s="40">
        <v>183</v>
      </c>
      <c r="AF49" s="3">
        <v>11</v>
      </c>
      <c r="AG49" s="7">
        <f t="shared" si="73"/>
        <v>0.7857142857142857</v>
      </c>
      <c r="AH49" s="3">
        <v>14</v>
      </c>
      <c r="AI49" s="41">
        <f t="shared" si="79"/>
        <v>212</v>
      </c>
      <c r="AJ49" s="7">
        <f t="shared" si="91"/>
        <v>5.8712750636977958E-3</v>
      </c>
      <c r="AK49" s="44">
        <f t="shared" si="80"/>
        <v>36108</v>
      </c>
      <c r="AL49" s="117">
        <f t="shared" si="81"/>
        <v>0.18486178388024913</v>
      </c>
      <c r="AM49" s="115">
        <f t="shared" si="82"/>
        <v>0.47950428979980936</v>
      </c>
      <c r="AN49" s="7">
        <f t="shared" si="83"/>
        <v>0.86451612903225805</v>
      </c>
      <c r="AO49" s="171">
        <f t="shared" si="84"/>
        <v>0.18612183537191404</v>
      </c>
      <c r="AP49" s="63">
        <f t="shared" si="85"/>
        <v>149062</v>
      </c>
      <c r="AQ49" s="3">
        <f t="shared" si="86"/>
        <v>800884</v>
      </c>
      <c r="AR49" s="116">
        <f t="shared" si="87"/>
        <v>768796</v>
      </c>
      <c r="AS49" s="3">
        <f t="shared" si="88"/>
        <v>13637</v>
      </c>
      <c r="AT49" s="26">
        <f t="shared" si="89"/>
        <v>465</v>
      </c>
    </row>
    <row r="50" spans="1:46" x14ac:dyDescent="0.15">
      <c r="A50" s="146">
        <v>42248</v>
      </c>
      <c r="B50" s="3">
        <v>10925</v>
      </c>
      <c r="C50" s="115">
        <f t="shared" si="66"/>
        <v>8.8031715591081597E-2</v>
      </c>
      <c r="D50" s="3">
        <v>124103</v>
      </c>
      <c r="E50" s="178">
        <v>840</v>
      </c>
      <c r="F50" s="115">
        <f t="shared" si="67"/>
        <v>0.44680851063829785</v>
      </c>
      <c r="G50" s="3">
        <v>1880</v>
      </c>
      <c r="H50" s="178">
        <v>33</v>
      </c>
      <c r="I50" s="115">
        <f t="shared" si="68"/>
        <v>0.71739130434782605</v>
      </c>
      <c r="J50" s="3">
        <v>46</v>
      </c>
      <c r="K50" s="195">
        <f t="shared" ref="K50:K55" si="93">+H50+E50+B50</f>
        <v>11798</v>
      </c>
      <c r="L50" s="115">
        <f t="shared" si="90"/>
        <v>9.3613374699473936E-2</v>
      </c>
      <c r="M50" s="23">
        <f t="shared" ref="M50:M55" si="94">+J50+G50+D50</f>
        <v>126029</v>
      </c>
      <c r="N50" s="3">
        <v>132298</v>
      </c>
      <c r="O50" s="67">
        <f t="shared" si="74"/>
        <v>0.21732588204759229</v>
      </c>
      <c r="P50" s="174">
        <v>608754</v>
      </c>
      <c r="Q50" s="68">
        <v>5670</v>
      </c>
      <c r="R50" s="67">
        <f t="shared" si="75"/>
        <v>0.48993346582562863</v>
      </c>
      <c r="S50" s="40">
        <v>11573</v>
      </c>
      <c r="T50" s="68">
        <v>360</v>
      </c>
      <c r="U50" s="67">
        <f t="shared" si="76"/>
        <v>0.88235294117647056</v>
      </c>
      <c r="V50" s="40">
        <v>408</v>
      </c>
      <c r="W50" s="63">
        <f t="shared" ref="W50:W55" si="95">+T50+Q50+N50</f>
        <v>138328</v>
      </c>
      <c r="X50" s="67">
        <f t="shared" si="92"/>
        <v>0.22284549767614198</v>
      </c>
      <c r="Y50" s="26">
        <f t="shared" ref="Y50:Y55" si="96">+V50+S50+P50</f>
        <v>620735</v>
      </c>
      <c r="Z50" s="3">
        <v>78</v>
      </c>
      <c r="AA50" s="115">
        <f t="shared" si="71"/>
        <v>2.1715526601520088E-3</v>
      </c>
      <c r="AB50" s="40">
        <v>35919</v>
      </c>
      <c r="AC50" s="3">
        <v>26</v>
      </c>
      <c r="AD50" s="115">
        <f t="shared" si="72"/>
        <v>0.14285714285714285</v>
      </c>
      <c r="AE50" s="40">
        <v>182</v>
      </c>
      <c r="AF50" s="3">
        <v>11</v>
      </c>
      <c r="AG50" s="7">
        <f t="shared" si="73"/>
        <v>0.7857142857142857</v>
      </c>
      <c r="AH50" s="3">
        <v>14</v>
      </c>
      <c r="AI50" s="41">
        <f t="shared" ref="AI50:AI55" si="97">+AF50+AC50+Z50</f>
        <v>115</v>
      </c>
      <c r="AJ50" s="7">
        <f t="shared" si="91"/>
        <v>3.1842724629655267E-3</v>
      </c>
      <c r="AK50" s="44">
        <f t="shared" ref="AK50:AK55" si="98">+AH50+AE50+AB50</f>
        <v>36115</v>
      </c>
      <c r="AL50" s="117">
        <f t="shared" ref="AL50:AL55" si="99">(B50+N50+Z50)/AR50</f>
        <v>0.18640150056713528</v>
      </c>
      <c r="AM50" s="115">
        <f t="shared" ref="AM50:AM55" si="100">(E50+Q50+AC50)/AS50</f>
        <v>0.47935460212687936</v>
      </c>
      <c r="AN50" s="7">
        <f t="shared" ref="AN50:AN55" si="101">(H50+T50+AF50)/AT50</f>
        <v>0.86324786324786329</v>
      </c>
      <c r="AO50" s="171">
        <f t="shared" ref="AO50:AO55" si="102">AP50/AQ50</f>
        <v>0.18760848228445273</v>
      </c>
      <c r="AP50" s="63">
        <f t="shared" ref="AP50:AP55" si="103">AF50+AC50+Z50+T50+Q50+N50+H50+E50+B50</f>
        <v>150241</v>
      </c>
      <c r="AQ50" s="3">
        <f t="shared" ref="AQ50:AQ55" si="104">AH50+AF50+AE50+AC50+Z50+AB50+V50+T50+S50+Q50+P50+J50+H50+G50+E50+D50+B50</f>
        <v>800822</v>
      </c>
      <c r="AR50" s="116">
        <f t="shared" ref="AR50:AR55" si="105">+D50+P50+AB50</f>
        <v>768776</v>
      </c>
      <c r="AS50" s="3">
        <f t="shared" ref="AS50:AS55" si="106">G50+S50+AE50</f>
        <v>13635</v>
      </c>
      <c r="AT50" s="26">
        <f t="shared" ref="AT50:AT55" si="107">J50+V50+AH50</f>
        <v>468</v>
      </c>
    </row>
    <row r="51" spans="1:46" x14ac:dyDescent="0.15">
      <c r="A51" s="146">
        <v>42217</v>
      </c>
      <c r="B51" s="3">
        <v>11059</v>
      </c>
      <c r="C51" s="115">
        <f t="shared" si="66"/>
        <v>8.9138039430625635E-2</v>
      </c>
      <c r="D51" s="3">
        <v>124066</v>
      </c>
      <c r="E51" s="178">
        <v>836</v>
      </c>
      <c r="F51" s="115">
        <f t="shared" si="67"/>
        <v>0.44397238449283061</v>
      </c>
      <c r="G51" s="3">
        <v>1883</v>
      </c>
      <c r="H51" s="178">
        <v>33</v>
      </c>
      <c r="I51" s="115">
        <f t="shared" si="68"/>
        <v>0.75</v>
      </c>
      <c r="J51" s="3">
        <v>44</v>
      </c>
      <c r="K51" s="195">
        <f t="shared" si="93"/>
        <v>11928</v>
      </c>
      <c r="L51" s="115">
        <f t="shared" ref="L51:L56" si="108">K51/M51</f>
        <v>9.4671926218123231E-2</v>
      </c>
      <c r="M51" s="23">
        <f t="shared" si="94"/>
        <v>125993</v>
      </c>
      <c r="N51" s="3">
        <v>132862</v>
      </c>
      <c r="O51" s="67">
        <f t="shared" si="74"/>
        <v>0.2185165570756129</v>
      </c>
      <c r="P51" s="174">
        <v>608018</v>
      </c>
      <c r="Q51" s="68">
        <v>5691</v>
      </c>
      <c r="R51" s="67">
        <f t="shared" si="75"/>
        <v>0.49085734000345005</v>
      </c>
      <c r="S51" s="40">
        <v>11594</v>
      </c>
      <c r="T51" s="68">
        <v>360</v>
      </c>
      <c r="U51" s="67">
        <f t="shared" si="76"/>
        <v>0.88669950738916259</v>
      </c>
      <c r="V51" s="40">
        <v>406</v>
      </c>
      <c r="W51" s="63">
        <f t="shared" si="95"/>
        <v>138913</v>
      </c>
      <c r="X51" s="67">
        <f t="shared" si="92"/>
        <v>0.22404672122422253</v>
      </c>
      <c r="Y51" s="26">
        <f t="shared" si="96"/>
        <v>620018</v>
      </c>
      <c r="Z51" s="3">
        <v>38</v>
      </c>
      <c r="AA51" s="115">
        <f t="shared" si="71"/>
        <v>1.0584368558854661E-3</v>
      </c>
      <c r="AB51" s="40">
        <v>35902</v>
      </c>
      <c r="AC51" s="3">
        <v>22</v>
      </c>
      <c r="AD51" s="115">
        <f t="shared" si="72"/>
        <v>0.12087912087912088</v>
      </c>
      <c r="AE51" s="40">
        <v>182</v>
      </c>
      <c r="AF51" s="3">
        <v>10</v>
      </c>
      <c r="AG51" s="7">
        <f t="shared" si="73"/>
        <v>0.66666666666666663</v>
      </c>
      <c r="AH51" s="3">
        <v>15</v>
      </c>
      <c r="AI51" s="41">
        <f t="shared" si="97"/>
        <v>70</v>
      </c>
      <c r="AJ51" s="7">
        <f t="shared" ref="AJ51:AJ56" si="109">AI51/AK51</f>
        <v>1.9391118867558659E-3</v>
      </c>
      <c r="AK51" s="44">
        <f t="shared" si="98"/>
        <v>36099</v>
      </c>
      <c r="AL51" s="117">
        <f t="shared" si="99"/>
        <v>0.1874500316412018</v>
      </c>
      <c r="AM51" s="115">
        <f t="shared" si="100"/>
        <v>0.47946408961124531</v>
      </c>
      <c r="AN51" s="7">
        <f t="shared" si="101"/>
        <v>0.8666666666666667</v>
      </c>
      <c r="AO51" s="171">
        <f t="shared" si="102"/>
        <v>0.18860126549848219</v>
      </c>
      <c r="AP51" s="63">
        <f t="shared" si="103"/>
        <v>150911</v>
      </c>
      <c r="AQ51" s="3">
        <f t="shared" si="104"/>
        <v>800159</v>
      </c>
      <c r="AR51" s="116">
        <f t="shared" si="105"/>
        <v>767986</v>
      </c>
      <c r="AS51" s="3">
        <f t="shared" si="106"/>
        <v>13659</v>
      </c>
      <c r="AT51" s="26">
        <f t="shared" si="107"/>
        <v>465</v>
      </c>
    </row>
    <row r="52" spans="1:46" x14ac:dyDescent="0.15">
      <c r="A52" s="146">
        <v>42186</v>
      </c>
      <c r="B52" s="3">
        <v>11046</v>
      </c>
      <c r="C52" s="115">
        <f t="shared" si="66"/>
        <v>8.8986635087125704E-2</v>
      </c>
      <c r="D52" s="3">
        <v>124131</v>
      </c>
      <c r="E52" s="178">
        <v>836</v>
      </c>
      <c r="F52" s="115">
        <f t="shared" si="67"/>
        <v>0.44420828905419768</v>
      </c>
      <c r="G52" s="3">
        <v>1882</v>
      </c>
      <c r="H52" s="178">
        <v>33</v>
      </c>
      <c r="I52" s="115">
        <f t="shared" si="68"/>
        <v>0.75</v>
      </c>
      <c r="J52" s="3">
        <v>44</v>
      </c>
      <c r="K52" s="195">
        <f t="shared" si="93"/>
        <v>11915</v>
      </c>
      <c r="L52" s="115">
        <f t="shared" si="108"/>
        <v>9.4520732684420544E-2</v>
      </c>
      <c r="M52" s="23">
        <f t="shared" si="94"/>
        <v>126057</v>
      </c>
      <c r="N52" s="3">
        <v>134558</v>
      </c>
      <c r="O52" s="67">
        <f t="shared" si="74"/>
        <v>0.22125136475447574</v>
      </c>
      <c r="P52" s="174">
        <v>608168</v>
      </c>
      <c r="Q52" s="68">
        <v>5692</v>
      </c>
      <c r="R52" s="67">
        <f t="shared" si="75"/>
        <v>0.48971866127505809</v>
      </c>
      <c r="S52" s="40">
        <v>11623</v>
      </c>
      <c r="T52" s="68">
        <v>354</v>
      </c>
      <c r="U52" s="67">
        <f t="shared" si="76"/>
        <v>0.87841191066997515</v>
      </c>
      <c r="V52" s="40">
        <v>403</v>
      </c>
      <c r="W52" s="63">
        <f t="shared" si="95"/>
        <v>140604</v>
      </c>
      <c r="X52" s="67">
        <f t="shared" si="92"/>
        <v>0.22670970696266007</v>
      </c>
      <c r="Y52" s="26">
        <f t="shared" si="96"/>
        <v>620194</v>
      </c>
      <c r="Z52" s="3">
        <v>38</v>
      </c>
      <c r="AA52" s="115">
        <f t="shared" si="71"/>
        <v>1.0589677850852749E-3</v>
      </c>
      <c r="AB52" s="40">
        <v>35884</v>
      </c>
      <c r="AC52" s="3">
        <v>21</v>
      </c>
      <c r="AD52" s="115">
        <f t="shared" si="72"/>
        <v>0.11538461538461539</v>
      </c>
      <c r="AE52" s="40">
        <v>182</v>
      </c>
      <c r="AF52" s="3">
        <v>10</v>
      </c>
      <c r="AG52" s="7">
        <f t="shared" si="73"/>
        <v>0.7142857142857143</v>
      </c>
      <c r="AH52" s="3">
        <v>14</v>
      </c>
      <c r="AI52" s="41">
        <f t="shared" si="97"/>
        <v>69</v>
      </c>
      <c r="AJ52" s="7">
        <f t="shared" si="109"/>
        <v>1.9124168514412416E-3</v>
      </c>
      <c r="AK52" s="44">
        <f t="shared" si="98"/>
        <v>36080</v>
      </c>
      <c r="AL52" s="117">
        <f t="shared" si="99"/>
        <v>0.18959284441337546</v>
      </c>
      <c r="AM52" s="115">
        <f t="shared" si="100"/>
        <v>0.47848323226419232</v>
      </c>
      <c r="AN52" s="7">
        <f t="shared" si="101"/>
        <v>0.86117136659436011</v>
      </c>
      <c r="AO52" s="171">
        <f t="shared" si="102"/>
        <v>0.19064896965244432</v>
      </c>
      <c r="AP52" s="63">
        <f t="shared" si="103"/>
        <v>152588</v>
      </c>
      <c r="AQ52" s="3">
        <f t="shared" si="104"/>
        <v>800361</v>
      </c>
      <c r="AR52" s="116">
        <f t="shared" si="105"/>
        <v>768183</v>
      </c>
      <c r="AS52" s="3">
        <f t="shared" si="106"/>
        <v>13687</v>
      </c>
      <c r="AT52" s="26">
        <f t="shared" si="107"/>
        <v>461</v>
      </c>
    </row>
    <row r="53" spans="1:46" x14ac:dyDescent="0.15">
      <c r="A53" s="146">
        <v>42156</v>
      </c>
      <c r="B53" s="3">
        <v>11097</v>
      </c>
      <c r="C53" s="115">
        <f t="shared" si="66"/>
        <v>8.9544651286644558E-2</v>
      </c>
      <c r="D53" s="3">
        <v>123927</v>
      </c>
      <c r="E53" s="178">
        <v>837</v>
      </c>
      <c r="F53" s="115">
        <f t="shared" si="67"/>
        <v>0.44473963868225291</v>
      </c>
      <c r="G53" s="3">
        <v>1882</v>
      </c>
      <c r="H53" s="178">
        <v>33</v>
      </c>
      <c r="I53" s="115">
        <f t="shared" si="68"/>
        <v>0.76744186046511631</v>
      </c>
      <c r="J53" s="3">
        <v>43</v>
      </c>
      <c r="K53" s="195">
        <f t="shared" si="93"/>
        <v>11967</v>
      </c>
      <c r="L53" s="115">
        <f t="shared" si="108"/>
        <v>9.5087881003082991E-2</v>
      </c>
      <c r="M53" s="23">
        <f t="shared" si="94"/>
        <v>125852</v>
      </c>
      <c r="N53" s="3">
        <v>137362</v>
      </c>
      <c r="O53" s="67">
        <f t="shared" si="74"/>
        <v>0.22464629680812614</v>
      </c>
      <c r="P53" s="174">
        <v>611459</v>
      </c>
      <c r="Q53" s="68">
        <v>6017</v>
      </c>
      <c r="R53" s="67">
        <f t="shared" si="75"/>
        <v>0.49267174322443297</v>
      </c>
      <c r="S53" s="40">
        <v>12213</v>
      </c>
      <c r="T53" s="68">
        <v>395</v>
      </c>
      <c r="U53" s="67">
        <f t="shared" si="76"/>
        <v>0.8816964285714286</v>
      </c>
      <c r="V53" s="40">
        <v>448</v>
      </c>
      <c r="W53" s="63">
        <f t="shared" si="95"/>
        <v>143774</v>
      </c>
      <c r="X53" s="67">
        <f t="shared" si="92"/>
        <v>0.23036275075306031</v>
      </c>
      <c r="Y53" s="26">
        <f t="shared" si="96"/>
        <v>624120</v>
      </c>
      <c r="Z53" s="3">
        <v>38</v>
      </c>
      <c r="AA53" s="115">
        <f t="shared" si="71"/>
        <v>1.0589677850852749E-3</v>
      </c>
      <c r="AB53" s="40">
        <v>35884</v>
      </c>
      <c r="AC53" s="3">
        <v>21</v>
      </c>
      <c r="AD53" s="115">
        <f t="shared" si="72"/>
        <v>0.11538461538461539</v>
      </c>
      <c r="AE53" s="40">
        <v>182</v>
      </c>
      <c r="AF53" s="3">
        <v>10</v>
      </c>
      <c r="AG53" s="7">
        <f t="shared" si="73"/>
        <v>0.7142857142857143</v>
      </c>
      <c r="AH53" s="3">
        <v>14</v>
      </c>
      <c r="AI53" s="41">
        <f t="shared" si="97"/>
        <v>69</v>
      </c>
      <c r="AJ53" s="7">
        <f t="shared" si="109"/>
        <v>1.9124168514412416E-3</v>
      </c>
      <c r="AK53" s="44">
        <f t="shared" si="98"/>
        <v>36080</v>
      </c>
      <c r="AL53" s="117">
        <f t="shared" si="99"/>
        <v>0.19253568789139991</v>
      </c>
      <c r="AM53" s="115">
        <f t="shared" si="100"/>
        <v>0.48154374168242631</v>
      </c>
      <c r="AN53" s="7">
        <f t="shared" si="101"/>
        <v>0.86732673267326732</v>
      </c>
      <c r="AO53" s="171">
        <f t="shared" si="102"/>
        <v>0.1936730888750777</v>
      </c>
      <c r="AP53" s="63">
        <f t="shared" si="103"/>
        <v>155810</v>
      </c>
      <c r="AQ53" s="3">
        <f t="shared" si="104"/>
        <v>804500</v>
      </c>
      <c r="AR53" s="116">
        <f t="shared" si="105"/>
        <v>771270</v>
      </c>
      <c r="AS53" s="3">
        <f t="shared" si="106"/>
        <v>14277</v>
      </c>
      <c r="AT53" s="26">
        <f t="shared" si="107"/>
        <v>505</v>
      </c>
    </row>
    <row r="54" spans="1:46" x14ac:dyDescent="0.15">
      <c r="A54" s="146">
        <v>42125</v>
      </c>
      <c r="B54" s="3">
        <v>11097</v>
      </c>
      <c r="C54" s="115">
        <f t="shared" si="66"/>
        <v>8.9840429407621505E-2</v>
      </c>
      <c r="D54" s="3">
        <v>123519</v>
      </c>
      <c r="E54" s="178">
        <v>834</v>
      </c>
      <c r="F54" s="115">
        <f t="shared" si="67"/>
        <v>0.44291024960169939</v>
      </c>
      <c r="G54" s="3">
        <v>1883</v>
      </c>
      <c r="H54" s="178">
        <v>33</v>
      </c>
      <c r="I54" s="115">
        <f t="shared" si="68"/>
        <v>0.76744186046511631</v>
      </c>
      <c r="J54" s="3">
        <v>43</v>
      </c>
      <c r="K54" s="195">
        <f t="shared" si="93"/>
        <v>11964</v>
      </c>
      <c r="L54" s="115">
        <f t="shared" si="108"/>
        <v>9.5372473992586387E-2</v>
      </c>
      <c r="M54" s="23">
        <f t="shared" si="94"/>
        <v>125445</v>
      </c>
      <c r="N54" s="3">
        <v>130674</v>
      </c>
      <c r="O54" s="67">
        <f t="shared" si="74"/>
        <v>0.21613834283020583</v>
      </c>
      <c r="P54" s="174">
        <v>604585</v>
      </c>
      <c r="Q54" s="68">
        <v>5382</v>
      </c>
      <c r="R54" s="67">
        <f t="shared" si="75"/>
        <v>0.4883847549909256</v>
      </c>
      <c r="S54" s="40">
        <v>11020</v>
      </c>
      <c r="T54" s="68">
        <v>331</v>
      </c>
      <c r="U54" s="67">
        <f t="shared" si="76"/>
        <v>0.88502673796791442</v>
      </c>
      <c r="V54" s="40">
        <v>374</v>
      </c>
      <c r="W54" s="63">
        <f t="shared" si="95"/>
        <v>136387</v>
      </c>
      <c r="X54" s="67">
        <f t="shared" ref="X54:X60" si="110">W54/Y54</f>
        <v>0.22141501577164158</v>
      </c>
      <c r="Y54" s="26">
        <f t="shared" si="96"/>
        <v>615979</v>
      </c>
      <c r="Z54" s="3">
        <v>38</v>
      </c>
      <c r="AA54" s="115">
        <f t="shared" si="71"/>
        <v>1.0593220338983051E-3</v>
      </c>
      <c r="AB54" s="40">
        <v>35872</v>
      </c>
      <c r="AC54" s="3">
        <v>21</v>
      </c>
      <c r="AD54" s="115">
        <f t="shared" si="72"/>
        <v>0.11475409836065574</v>
      </c>
      <c r="AE54" s="40">
        <v>183</v>
      </c>
      <c r="AF54" s="3">
        <v>10</v>
      </c>
      <c r="AG54" s="7">
        <f t="shared" si="73"/>
        <v>0.7142857142857143</v>
      </c>
      <c r="AH54" s="3">
        <v>14</v>
      </c>
      <c r="AI54" s="41">
        <f t="shared" si="97"/>
        <v>69</v>
      </c>
      <c r="AJ54" s="7">
        <f t="shared" si="109"/>
        <v>1.9130000831739167E-3</v>
      </c>
      <c r="AK54" s="44">
        <f t="shared" si="98"/>
        <v>36069</v>
      </c>
      <c r="AL54" s="117">
        <f t="shared" si="99"/>
        <v>0.18561970533105751</v>
      </c>
      <c r="AM54" s="115">
        <f t="shared" si="100"/>
        <v>0.47661623108665752</v>
      </c>
      <c r="AN54" s="7">
        <f t="shared" si="101"/>
        <v>0.86774941995359633</v>
      </c>
      <c r="AO54" s="171">
        <f t="shared" si="102"/>
        <v>0.18663571580367663</v>
      </c>
      <c r="AP54" s="63">
        <f t="shared" si="103"/>
        <v>148420</v>
      </c>
      <c r="AQ54" s="3">
        <f t="shared" si="104"/>
        <v>795239</v>
      </c>
      <c r="AR54" s="116">
        <f t="shared" si="105"/>
        <v>763976</v>
      </c>
      <c r="AS54" s="3">
        <f t="shared" si="106"/>
        <v>13086</v>
      </c>
      <c r="AT54" s="26">
        <f t="shared" si="107"/>
        <v>431</v>
      </c>
    </row>
    <row r="55" spans="1:46" x14ac:dyDescent="0.15">
      <c r="A55" s="146">
        <v>42095</v>
      </c>
      <c r="B55" s="3">
        <v>11196</v>
      </c>
      <c r="C55" s="115">
        <f t="shared" si="66"/>
        <v>9.1356392744363663E-2</v>
      </c>
      <c r="D55" s="3">
        <v>122553</v>
      </c>
      <c r="E55" s="178">
        <v>815</v>
      </c>
      <c r="F55" s="115">
        <f t="shared" si="67"/>
        <v>0.43959007551240559</v>
      </c>
      <c r="G55" s="3">
        <v>1854</v>
      </c>
      <c r="H55" s="178">
        <v>34</v>
      </c>
      <c r="I55" s="115">
        <f t="shared" si="68"/>
        <v>0.77272727272727271</v>
      </c>
      <c r="J55" s="3">
        <v>44</v>
      </c>
      <c r="K55" s="195">
        <f t="shared" si="93"/>
        <v>12045</v>
      </c>
      <c r="L55" s="115">
        <f t="shared" si="108"/>
        <v>9.6785080071674801E-2</v>
      </c>
      <c r="M55" s="23">
        <f t="shared" si="94"/>
        <v>124451</v>
      </c>
      <c r="N55" s="3">
        <v>139601</v>
      </c>
      <c r="O55" s="67">
        <f t="shared" si="74"/>
        <v>0.22955480499491893</v>
      </c>
      <c r="P55" s="174">
        <v>608138</v>
      </c>
      <c r="Q55" s="68">
        <v>5703</v>
      </c>
      <c r="R55" s="67">
        <f t="shared" si="75"/>
        <v>0.48739423980856339</v>
      </c>
      <c r="S55" s="40">
        <v>11701</v>
      </c>
      <c r="T55" s="68">
        <v>357</v>
      </c>
      <c r="U55" s="67">
        <f t="shared" si="76"/>
        <v>0.88805970149253732</v>
      </c>
      <c r="V55" s="40">
        <v>402</v>
      </c>
      <c r="W55" s="63">
        <f t="shared" si="95"/>
        <v>145661</v>
      </c>
      <c r="X55" s="67">
        <f t="shared" si="110"/>
        <v>0.23484580993517037</v>
      </c>
      <c r="Y55" s="26">
        <f t="shared" si="96"/>
        <v>620241</v>
      </c>
      <c r="Z55" s="3">
        <v>38</v>
      </c>
      <c r="AA55" s="115">
        <f t="shared" si="71"/>
        <v>1.0619271182651464E-3</v>
      </c>
      <c r="AB55" s="40">
        <v>35784</v>
      </c>
      <c r="AC55" s="3">
        <v>22</v>
      </c>
      <c r="AD55" s="115">
        <f t="shared" si="72"/>
        <v>0.11891891891891893</v>
      </c>
      <c r="AE55" s="40">
        <v>185</v>
      </c>
      <c r="AF55" s="3">
        <v>10</v>
      </c>
      <c r="AG55" s="7">
        <f t="shared" si="73"/>
        <v>0.7142857142857143</v>
      </c>
      <c r="AH55" s="3">
        <v>14</v>
      </c>
      <c r="AI55" s="41">
        <f t="shared" si="97"/>
        <v>70</v>
      </c>
      <c r="AJ55" s="7">
        <f t="shared" si="109"/>
        <v>1.945363088124948E-3</v>
      </c>
      <c r="AK55" s="44">
        <f t="shared" si="98"/>
        <v>35983</v>
      </c>
      <c r="AL55" s="117">
        <f t="shared" si="99"/>
        <v>0.1967905019733194</v>
      </c>
      <c r="AM55" s="115">
        <f t="shared" si="100"/>
        <v>0.4759825327510917</v>
      </c>
      <c r="AN55" s="7">
        <f t="shared" si="101"/>
        <v>0.87173913043478257</v>
      </c>
      <c r="AO55" s="171">
        <f t="shared" si="102"/>
        <v>0.19750391187331789</v>
      </c>
      <c r="AP55" s="63">
        <f t="shared" si="103"/>
        <v>157776</v>
      </c>
      <c r="AQ55" s="3">
        <f t="shared" si="104"/>
        <v>798850</v>
      </c>
      <c r="AR55" s="116">
        <f t="shared" si="105"/>
        <v>766475</v>
      </c>
      <c r="AS55" s="3">
        <f t="shared" si="106"/>
        <v>13740</v>
      </c>
      <c r="AT55" s="26">
        <f t="shared" si="107"/>
        <v>460</v>
      </c>
    </row>
    <row r="56" spans="1:46" x14ac:dyDescent="0.15">
      <c r="A56" s="146">
        <v>42064</v>
      </c>
      <c r="B56" s="3">
        <v>11245</v>
      </c>
      <c r="C56" s="115">
        <f t="shared" si="66"/>
        <v>9.1953553029683541E-2</v>
      </c>
      <c r="D56" s="3">
        <v>122290</v>
      </c>
      <c r="E56" s="178">
        <v>813</v>
      </c>
      <c r="F56" s="115">
        <f t="shared" si="67"/>
        <v>0.4489232468249586</v>
      </c>
      <c r="G56" s="3">
        <v>1811</v>
      </c>
      <c r="H56" s="178">
        <v>34</v>
      </c>
      <c r="I56" s="115">
        <f t="shared" si="68"/>
        <v>0.77272727272727271</v>
      </c>
      <c r="J56" s="3">
        <v>44</v>
      </c>
      <c r="K56" s="195">
        <f t="shared" ref="K56:K61" si="111">+H56+E56+B56</f>
        <v>12092</v>
      </c>
      <c r="L56" s="115">
        <f t="shared" si="108"/>
        <v>9.7402231261830924E-2</v>
      </c>
      <c r="M56" s="23">
        <f t="shared" ref="M56:M61" si="112">+J56+G56+D56</f>
        <v>124145</v>
      </c>
      <c r="N56" s="3">
        <v>148988</v>
      </c>
      <c r="O56" s="67">
        <f t="shared" si="74"/>
        <v>0.24527034590842942</v>
      </c>
      <c r="P56" s="174">
        <v>607444</v>
      </c>
      <c r="Q56" s="68">
        <v>5797</v>
      </c>
      <c r="R56" s="67">
        <f t="shared" si="75"/>
        <v>0.48187863674147963</v>
      </c>
      <c r="S56" s="40">
        <v>12030</v>
      </c>
      <c r="T56" s="68">
        <v>348</v>
      </c>
      <c r="U56" s="67">
        <f t="shared" si="76"/>
        <v>0.89690721649484539</v>
      </c>
      <c r="V56" s="40">
        <v>388</v>
      </c>
      <c r="W56" s="63">
        <f t="shared" ref="W56:W61" si="113">+T56+Q56+N56</f>
        <v>155133</v>
      </c>
      <c r="X56" s="67">
        <f t="shared" si="110"/>
        <v>0.25027022143638422</v>
      </c>
      <c r="Y56" s="26">
        <f t="shared" ref="Y56:Y61" si="114">+V56+S56+P56</f>
        <v>619862</v>
      </c>
      <c r="Z56" s="3">
        <v>36</v>
      </c>
      <c r="AA56" s="115">
        <f t="shared" si="71"/>
        <v>1.005586592178771E-3</v>
      </c>
      <c r="AB56" s="40">
        <v>35800</v>
      </c>
      <c r="AC56" s="3">
        <v>18</v>
      </c>
      <c r="AD56" s="115">
        <f t="shared" si="72"/>
        <v>9.7826086956521743E-2</v>
      </c>
      <c r="AE56" s="40">
        <v>184</v>
      </c>
      <c r="AF56" s="3">
        <v>9</v>
      </c>
      <c r="AG56" s="7">
        <f t="shared" si="73"/>
        <v>0.69230769230769229</v>
      </c>
      <c r="AH56" s="3">
        <v>13</v>
      </c>
      <c r="AI56" s="41">
        <f t="shared" ref="AI56:AI61" si="115">+AF56+AC56+Z56</f>
        <v>63</v>
      </c>
      <c r="AJ56" s="7">
        <f t="shared" si="109"/>
        <v>1.7501458454871239E-3</v>
      </c>
      <c r="AK56" s="44">
        <f t="shared" ref="AK56:AK61" si="116">+AH56+AE56+AB56</f>
        <v>35997</v>
      </c>
      <c r="AL56" s="117">
        <f t="shared" ref="AL56:AL61" si="117">(B56+N56+Z56)/AR56</f>
        <v>0.20935582221037863</v>
      </c>
      <c r="AM56" s="115">
        <f t="shared" ref="AM56:AM61" si="118">(E56+Q56+AC56)/AS56</f>
        <v>0.47258467023172906</v>
      </c>
      <c r="AN56" s="7">
        <f t="shared" ref="AN56:AN61" si="119">(H56+T56+AF56)/AT56</f>
        <v>0.87865168539325844</v>
      </c>
      <c r="AO56" s="171">
        <f t="shared" ref="AO56:AO61" si="120">AP56/AQ56</f>
        <v>0.20955425502064376</v>
      </c>
      <c r="AP56" s="63">
        <f t="shared" ref="AP56:AP61" si="121">AF56+AC56+Z56+T56+Q56+N56+H56+E56+B56</f>
        <v>167288</v>
      </c>
      <c r="AQ56" s="3">
        <f t="shared" ref="AQ56:AQ61" si="122">AH56+AF56+AE56+AC56+Z56+AB56+V56+T56+S56+Q56+P56+J56+H56+G56+E56+D56+B56</f>
        <v>798304</v>
      </c>
      <c r="AR56" s="116">
        <f t="shared" ref="AR56:AR61" si="123">+D56+P56+AB56</f>
        <v>765534</v>
      </c>
      <c r="AS56" s="3">
        <f t="shared" ref="AS56:AS61" si="124">G56+S56+AE56</f>
        <v>14025</v>
      </c>
      <c r="AT56" s="26">
        <f t="shared" ref="AT56:AT61" si="125">J56+V56+AH56</f>
        <v>445</v>
      </c>
    </row>
    <row r="57" spans="1:46" x14ac:dyDescent="0.15">
      <c r="A57" s="146">
        <v>42036</v>
      </c>
      <c r="B57" s="3">
        <v>11397</v>
      </c>
      <c r="C57" s="115">
        <f t="shared" si="66"/>
        <v>9.3205646150574917E-2</v>
      </c>
      <c r="D57" s="3">
        <v>122278</v>
      </c>
      <c r="E57" s="178">
        <v>800</v>
      </c>
      <c r="F57" s="115">
        <f t="shared" si="67"/>
        <v>0.44444444444444442</v>
      </c>
      <c r="G57" s="3">
        <v>1800</v>
      </c>
      <c r="H57" s="178">
        <v>34</v>
      </c>
      <c r="I57" s="115">
        <f t="shared" si="68"/>
        <v>0.77272727272727271</v>
      </c>
      <c r="J57" s="3">
        <v>44</v>
      </c>
      <c r="K57" s="195">
        <f t="shared" si="111"/>
        <v>12231</v>
      </c>
      <c r="L57" s="115">
        <f t="shared" ref="L57:L63" si="126">K57/M57</f>
        <v>9.8540145985401464E-2</v>
      </c>
      <c r="M57" s="23">
        <f t="shared" si="112"/>
        <v>124122</v>
      </c>
      <c r="N57" s="3">
        <v>149207</v>
      </c>
      <c r="O57" s="67">
        <f t="shared" si="74"/>
        <v>0.24556578698331977</v>
      </c>
      <c r="P57" s="174">
        <v>607605</v>
      </c>
      <c r="Q57" s="68">
        <v>5770</v>
      </c>
      <c r="R57" s="67">
        <f t="shared" si="75"/>
        <v>0.47963424771404822</v>
      </c>
      <c r="S57" s="40">
        <v>12030</v>
      </c>
      <c r="T57" s="68">
        <v>358</v>
      </c>
      <c r="U57" s="67">
        <f t="shared" si="76"/>
        <v>0.88833746898263022</v>
      </c>
      <c r="V57" s="40">
        <v>403</v>
      </c>
      <c r="W57" s="63">
        <f t="shared" si="113"/>
        <v>155335</v>
      </c>
      <c r="X57" s="67">
        <f t="shared" si="110"/>
        <v>0.25052496782455269</v>
      </c>
      <c r="Y57" s="26">
        <f t="shared" si="114"/>
        <v>620038</v>
      </c>
      <c r="Z57" s="3">
        <v>36</v>
      </c>
      <c r="AA57" s="115">
        <f t="shared" si="71"/>
        <v>1.004772670183371E-3</v>
      </c>
      <c r="AB57" s="40">
        <v>35829</v>
      </c>
      <c r="AC57" s="3">
        <v>18</v>
      </c>
      <c r="AD57" s="115">
        <f t="shared" si="72"/>
        <v>9.7297297297297303E-2</v>
      </c>
      <c r="AE57" s="40">
        <v>185</v>
      </c>
      <c r="AF57" s="3">
        <v>9</v>
      </c>
      <c r="AG57" s="7">
        <f t="shared" si="73"/>
        <v>0.75</v>
      </c>
      <c r="AH57" s="3">
        <v>12</v>
      </c>
      <c r="AI57" s="41">
        <f t="shared" si="115"/>
        <v>63</v>
      </c>
      <c r="AJ57" s="7">
        <f t="shared" ref="AJ57:AJ63" si="127">AI57/AK57</f>
        <v>1.7487370232609782E-3</v>
      </c>
      <c r="AK57" s="44">
        <f t="shared" si="116"/>
        <v>36026</v>
      </c>
      <c r="AL57" s="117">
        <f t="shared" si="117"/>
        <v>0.2097916710199135</v>
      </c>
      <c r="AM57" s="115">
        <f t="shared" si="118"/>
        <v>0.47006778451658937</v>
      </c>
      <c r="AN57" s="7">
        <f t="shared" si="119"/>
        <v>0.87363834422657949</v>
      </c>
      <c r="AO57" s="171">
        <f t="shared" si="120"/>
        <v>0.20990147857271652</v>
      </c>
      <c r="AP57" s="63">
        <f t="shared" si="121"/>
        <v>167629</v>
      </c>
      <c r="AQ57" s="3">
        <f t="shared" si="122"/>
        <v>798608</v>
      </c>
      <c r="AR57" s="116">
        <f t="shared" si="123"/>
        <v>765712</v>
      </c>
      <c r="AS57" s="3">
        <f t="shared" si="124"/>
        <v>14015</v>
      </c>
      <c r="AT57" s="26">
        <f t="shared" si="125"/>
        <v>459</v>
      </c>
    </row>
    <row r="58" spans="1:46" x14ac:dyDescent="0.15">
      <c r="A58" s="146">
        <v>42005</v>
      </c>
      <c r="B58" s="3">
        <v>11711</v>
      </c>
      <c r="C58" s="115">
        <f t="shared" si="66"/>
        <v>9.5753205128205135E-2</v>
      </c>
      <c r="D58" s="3">
        <v>122304</v>
      </c>
      <c r="E58" s="178">
        <v>800</v>
      </c>
      <c r="F58" s="115">
        <f t="shared" si="67"/>
        <v>0.45070422535211269</v>
      </c>
      <c r="G58" s="3">
        <v>1775</v>
      </c>
      <c r="H58" s="178">
        <v>34</v>
      </c>
      <c r="I58" s="115">
        <f t="shared" si="68"/>
        <v>0.77272727272727271</v>
      </c>
      <c r="J58" s="3">
        <v>44</v>
      </c>
      <c r="K58" s="195">
        <f t="shared" si="111"/>
        <v>12545</v>
      </c>
      <c r="L58" s="115">
        <f t="shared" si="126"/>
        <v>0.10106910081129203</v>
      </c>
      <c r="M58" s="23">
        <f t="shared" si="112"/>
        <v>124123</v>
      </c>
      <c r="N58" s="3">
        <v>152467</v>
      </c>
      <c r="O58" s="67">
        <f t="shared" si="74"/>
        <v>0.25096167932171365</v>
      </c>
      <c r="P58" s="174">
        <v>607531</v>
      </c>
      <c r="Q58" s="68">
        <v>5691</v>
      </c>
      <c r="R58" s="67">
        <f t="shared" si="75"/>
        <v>0.4718514219384794</v>
      </c>
      <c r="S58" s="40">
        <v>12061</v>
      </c>
      <c r="T58" s="68">
        <v>351</v>
      </c>
      <c r="U58" s="67">
        <f t="shared" si="76"/>
        <v>0.87969924812030076</v>
      </c>
      <c r="V58" s="40">
        <v>399</v>
      </c>
      <c r="W58" s="63">
        <f t="shared" si="113"/>
        <v>158509</v>
      </c>
      <c r="X58" s="67">
        <f t="shared" si="110"/>
        <v>0.25566338866209348</v>
      </c>
      <c r="Y58" s="26">
        <f t="shared" si="114"/>
        <v>619991</v>
      </c>
      <c r="Z58" s="3">
        <v>45</v>
      </c>
      <c r="AA58" s="115">
        <f t="shared" si="71"/>
        <v>1.213494053879136E-3</v>
      </c>
      <c r="AB58" s="40">
        <v>37083</v>
      </c>
      <c r="AC58" s="3">
        <v>18</v>
      </c>
      <c r="AD58" s="115">
        <f t="shared" si="72"/>
        <v>9.9447513812154692E-2</v>
      </c>
      <c r="AE58" s="40">
        <v>181</v>
      </c>
      <c r="AF58" s="3">
        <v>9</v>
      </c>
      <c r="AG58" s="7">
        <f t="shared" si="73"/>
        <v>0.69230769230769229</v>
      </c>
      <c r="AH58" s="3">
        <v>13</v>
      </c>
      <c r="AI58" s="41">
        <f t="shared" si="115"/>
        <v>72</v>
      </c>
      <c r="AJ58" s="7">
        <f t="shared" si="127"/>
        <v>1.9314859028355287E-3</v>
      </c>
      <c r="AK58" s="44">
        <f t="shared" si="116"/>
        <v>37277</v>
      </c>
      <c r="AL58" s="117">
        <f t="shared" si="117"/>
        <v>0.2141337144257926</v>
      </c>
      <c r="AM58" s="115">
        <f t="shared" si="118"/>
        <v>0.4643647000071342</v>
      </c>
      <c r="AN58" s="7">
        <f t="shared" si="119"/>
        <v>0.86403508771929827</v>
      </c>
      <c r="AO58" s="171">
        <f t="shared" si="120"/>
        <v>0.21389413161677395</v>
      </c>
      <c r="AP58" s="63">
        <f t="shared" si="121"/>
        <v>171126</v>
      </c>
      <c r="AQ58" s="3">
        <f t="shared" si="122"/>
        <v>800050</v>
      </c>
      <c r="AR58" s="116">
        <f t="shared" si="123"/>
        <v>766918</v>
      </c>
      <c r="AS58" s="3">
        <f t="shared" si="124"/>
        <v>14017</v>
      </c>
      <c r="AT58" s="26">
        <f t="shared" si="125"/>
        <v>456</v>
      </c>
    </row>
    <row r="59" spans="1:46" x14ac:dyDescent="0.15">
      <c r="A59" s="146">
        <v>41974</v>
      </c>
      <c r="B59" s="3">
        <v>12167</v>
      </c>
      <c r="C59" s="115">
        <f t="shared" si="66"/>
        <v>9.9485686718615851E-2</v>
      </c>
      <c r="D59" s="3">
        <v>122299</v>
      </c>
      <c r="E59" s="178">
        <v>782</v>
      </c>
      <c r="F59" s="115">
        <f t="shared" si="67"/>
        <v>0.43760492445439286</v>
      </c>
      <c r="G59" s="3">
        <v>1787</v>
      </c>
      <c r="H59" s="178">
        <v>34</v>
      </c>
      <c r="I59" s="115">
        <f t="shared" si="68"/>
        <v>0.77272727272727271</v>
      </c>
      <c r="J59" s="3">
        <v>44</v>
      </c>
      <c r="K59" s="195">
        <f t="shared" si="111"/>
        <v>12983</v>
      </c>
      <c r="L59" s="115">
        <f t="shared" si="126"/>
        <v>0.10459196004189157</v>
      </c>
      <c r="M59" s="23">
        <f t="shared" si="112"/>
        <v>124130</v>
      </c>
      <c r="N59" s="3">
        <v>159680</v>
      </c>
      <c r="O59" s="67">
        <f t="shared" si="74"/>
        <v>0.26299882566280874</v>
      </c>
      <c r="P59" s="174">
        <v>607151</v>
      </c>
      <c r="Q59" s="68">
        <v>5591</v>
      </c>
      <c r="R59" s="67">
        <f t="shared" si="75"/>
        <v>0.4545898040491097</v>
      </c>
      <c r="S59" s="40">
        <v>12299</v>
      </c>
      <c r="T59" s="68">
        <v>346</v>
      </c>
      <c r="U59" s="67">
        <f t="shared" si="76"/>
        <v>0.8671679197994987</v>
      </c>
      <c r="V59" s="40">
        <v>399</v>
      </c>
      <c r="W59" s="63">
        <f t="shared" si="113"/>
        <v>165617</v>
      </c>
      <c r="X59" s="67">
        <f t="shared" si="110"/>
        <v>0.26718926706342999</v>
      </c>
      <c r="Y59" s="26">
        <f t="shared" si="114"/>
        <v>619849</v>
      </c>
      <c r="Z59" s="3">
        <v>47</v>
      </c>
      <c r="AA59" s="115">
        <f t="shared" si="71"/>
        <v>1.2658568773734817E-3</v>
      </c>
      <c r="AB59" s="40">
        <v>37129</v>
      </c>
      <c r="AC59" s="3">
        <v>16</v>
      </c>
      <c r="AD59" s="115">
        <f t="shared" si="72"/>
        <v>9.3023255813953487E-2</v>
      </c>
      <c r="AE59" s="40">
        <v>172</v>
      </c>
      <c r="AF59" s="3">
        <v>9</v>
      </c>
      <c r="AG59" s="7">
        <f t="shared" si="73"/>
        <v>0.75</v>
      </c>
      <c r="AH59" s="3">
        <v>12</v>
      </c>
      <c r="AI59" s="41">
        <f t="shared" si="115"/>
        <v>72</v>
      </c>
      <c r="AJ59" s="7">
        <f t="shared" si="127"/>
        <v>1.9296223836196499E-3</v>
      </c>
      <c r="AK59" s="44">
        <f t="shared" si="116"/>
        <v>37313</v>
      </c>
      <c r="AL59" s="117">
        <f t="shared" si="117"/>
        <v>0.22423520602573252</v>
      </c>
      <c r="AM59" s="115">
        <f t="shared" si="118"/>
        <v>0.44809931266657316</v>
      </c>
      <c r="AN59" s="7">
        <f t="shared" si="119"/>
        <v>0.85494505494505491</v>
      </c>
      <c r="AO59" s="171">
        <f t="shared" si="120"/>
        <v>0.22326074243643507</v>
      </c>
      <c r="AP59" s="63">
        <f t="shared" si="121"/>
        <v>178672</v>
      </c>
      <c r="AQ59" s="3">
        <f t="shared" si="122"/>
        <v>800284</v>
      </c>
      <c r="AR59" s="116">
        <f t="shared" si="123"/>
        <v>766579</v>
      </c>
      <c r="AS59" s="3">
        <f t="shared" si="124"/>
        <v>14258</v>
      </c>
      <c r="AT59" s="26">
        <f t="shared" si="125"/>
        <v>455</v>
      </c>
    </row>
    <row r="60" spans="1:46" x14ac:dyDescent="0.15">
      <c r="A60" s="146">
        <v>41944</v>
      </c>
      <c r="B60" s="3">
        <v>13744</v>
      </c>
      <c r="C60" s="115">
        <f t="shared" si="66"/>
        <v>0.11230409700772989</v>
      </c>
      <c r="D60" s="3">
        <v>122382</v>
      </c>
      <c r="E60" s="178">
        <v>776</v>
      </c>
      <c r="F60" s="115">
        <f t="shared" si="67"/>
        <v>0.42684268426842686</v>
      </c>
      <c r="G60" s="3">
        <v>1818</v>
      </c>
      <c r="H60" s="178">
        <v>34</v>
      </c>
      <c r="I60" s="115">
        <f t="shared" si="68"/>
        <v>0.77272727272727271</v>
      </c>
      <c r="J60" s="3">
        <v>44</v>
      </c>
      <c r="K60" s="195">
        <f t="shared" si="111"/>
        <v>14554</v>
      </c>
      <c r="L60" s="115">
        <f t="shared" si="126"/>
        <v>0.11714046553555905</v>
      </c>
      <c r="M60" s="23">
        <f t="shared" si="112"/>
        <v>124244</v>
      </c>
      <c r="N60" s="3">
        <v>163100</v>
      </c>
      <c r="O60" s="67">
        <f t="shared" si="74"/>
        <v>0.26891338219170174</v>
      </c>
      <c r="P60" s="174">
        <v>606515</v>
      </c>
      <c r="Q60" s="68">
        <v>5544</v>
      </c>
      <c r="R60" s="67">
        <f t="shared" si="75"/>
        <v>0.44673650282030619</v>
      </c>
      <c r="S60" s="40">
        <v>12410</v>
      </c>
      <c r="T60" s="68">
        <v>344</v>
      </c>
      <c r="U60" s="67">
        <f t="shared" si="76"/>
        <v>0.85785536159600995</v>
      </c>
      <c r="V60" s="40">
        <v>401</v>
      </c>
      <c r="W60" s="63">
        <f t="shared" si="113"/>
        <v>168988</v>
      </c>
      <c r="X60" s="67">
        <f t="shared" si="110"/>
        <v>0.27285791327992043</v>
      </c>
      <c r="Y60" s="26">
        <f t="shared" si="114"/>
        <v>619326</v>
      </c>
      <c r="Z60" s="3">
        <v>53</v>
      </c>
      <c r="AA60" s="115">
        <f t="shared" si="71"/>
        <v>1.42722498990171E-3</v>
      </c>
      <c r="AB60" s="40">
        <v>37135</v>
      </c>
      <c r="AC60" s="3">
        <v>41</v>
      </c>
      <c r="AD60" s="115">
        <f t="shared" si="72"/>
        <v>0.23699421965317918</v>
      </c>
      <c r="AE60" s="40">
        <v>173</v>
      </c>
      <c r="AF60" s="3">
        <v>9</v>
      </c>
      <c r="AG60" s="7">
        <f t="shared" si="73"/>
        <v>0.75</v>
      </c>
      <c r="AH60" s="3">
        <v>12</v>
      </c>
      <c r="AI60" s="41">
        <f t="shared" si="115"/>
        <v>103</v>
      </c>
      <c r="AJ60" s="7">
        <f t="shared" si="127"/>
        <v>2.7599142550911041E-3</v>
      </c>
      <c r="AK60" s="44">
        <f t="shared" si="116"/>
        <v>37320</v>
      </c>
      <c r="AL60" s="117">
        <f t="shared" si="117"/>
        <v>0.23092638427637488</v>
      </c>
      <c r="AM60" s="115">
        <f t="shared" si="118"/>
        <v>0.44170543712242205</v>
      </c>
      <c r="AN60" s="7">
        <f t="shared" si="119"/>
        <v>0.84682713347921224</v>
      </c>
      <c r="AO60" s="171">
        <f t="shared" si="120"/>
        <v>0.22914522076026128</v>
      </c>
      <c r="AP60" s="63">
        <f t="shared" si="121"/>
        <v>183645</v>
      </c>
      <c r="AQ60" s="3">
        <f t="shared" si="122"/>
        <v>801435</v>
      </c>
      <c r="AR60" s="116">
        <f t="shared" si="123"/>
        <v>766032</v>
      </c>
      <c r="AS60" s="3">
        <f t="shared" si="124"/>
        <v>14401</v>
      </c>
      <c r="AT60" s="26">
        <f t="shared" si="125"/>
        <v>457</v>
      </c>
    </row>
    <row r="61" spans="1:46" x14ac:dyDescent="0.15">
      <c r="A61" s="146">
        <v>41926</v>
      </c>
      <c r="B61" s="3">
        <v>14276</v>
      </c>
      <c r="C61" s="115">
        <f t="shared" si="66"/>
        <v>0.11615380860169561</v>
      </c>
      <c r="D61" s="3">
        <v>122906</v>
      </c>
      <c r="E61" s="178">
        <v>762</v>
      </c>
      <c r="F61" s="115">
        <f t="shared" si="67"/>
        <v>0.41458106637649617</v>
      </c>
      <c r="G61" s="3">
        <v>1838</v>
      </c>
      <c r="H61" s="178">
        <v>34</v>
      </c>
      <c r="I61" s="115">
        <f t="shared" si="68"/>
        <v>0.77272727272727271</v>
      </c>
      <c r="J61" s="3">
        <v>44</v>
      </c>
      <c r="K61" s="195">
        <f t="shared" si="111"/>
        <v>15072</v>
      </c>
      <c r="L61" s="115">
        <f t="shared" si="126"/>
        <v>0.12078084431195307</v>
      </c>
      <c r="M61" s="23">
        <f t="shared" si="112"/>
        <v>124788</v>
      </c>
      <c r="N61" s="3">
        <v>166194</v>
      </c>
      <c r="O61" s="67">
        <f t="shared" si="74"/>
        <v>0.27413036342553265</v>
      </c>
      <c r="P61" s="174">
        <v>606259</v>
      </c>
      <c r="Q61" s="68">
        <v>5623</v>
      </c>
      <c r="R61" s="67">
        <f t="shared" si="75"/>
        <v>0.44930083899320816</v>
      </c>
      <c r="S61" s="40">
        <v>12515</v>
      </c>
      <c r="T61" s="68">
        <v>350</v>
      </c>
      <c r="U61" s="67">
        <f t="shared" si="76"/>
        <v>0.87281795511221949</v>
      </c>
      <c r="V61" s="40">
        <v>401</v>
      </c>
      <c r="W61" s="63">
        <f t="shared" si="113"/>
        <v>172167</v>
      </c>
      <c r="X61" s="67">
        <f t="shared" ref="X61:X67" si="128">W61/Y61</f>
        <v>0.27805870715064401</v>
      </c>
      <c r="Y61" s="26">
        <f t="shared" si="114"/>
        <v>619175</v>
      </c>
      <c r="Z61" s="3">
        <v>60</v>
      </c>
      <c r="AA61" s="115">
        <f t="shared" si="71"/>
        <v>1.6122964475734939E-3</v>
      </c>
      <c r="AB61" s="40">
        <v>37214</v>
      </c>
      <c r="AC61" s="3">
        <v>52</v>
      </c>
      <c r="AD61" s="115">
        <f t="shared" si="72"/>
        <v>0.30057803468208094</v>
      </c>
      <c r="AE61" s="40">
        <v>173</v>
      </c>
      <c r="AF61" s="3">
        <v>8</v>
      </c>
      <c r="AG61" s="7">
        <f t="shared" si="73"/>
        <v>0.72727272727272729</v>
      </c>
      <c r="AH61" s="3">
        <v>11</v>
      </c>
      <c r="AI61" s="41">
        <f t="shared" si="115"/>
        <v>120</v>
      </c>
      <c r="AJ61" s="7">
        <f t="shared" si="127"/>
        <v>3.2087277394513077E-3</v>
      </c>
      <c r="AK61" s="44">
        <f t="shared" si="116"/>
        <v>37398</v>
      </c>
      <c r="AL61" s="117">
        <f t="shared" si="117"/>
        <v>0.23556230011521714</v>
      </c>
      <c r="AM61" s="115">
        <f t="shared" si="118"/>
        <v>0.44313644499518107</v>
      </c>
      <c r="AN61" s="7">
        <f t="shared" si="119"/>
        <v>0.85964912280701755</v>
      </c>
      <c r="AO61" s="171">
        <f t="shared" si="120"/>
        <v>0.23346159501374411</v>
      </c>
      <c r="AP61" s="63">
        <f t="shared" si="121"/>
        <v>187359</v>
      </c>
      <c r="AQ61" s="3">
        <f t="shared" si="122"/>
        <v>802526</v>
      </c>
      <c r="AR61" s="116">
        <f t="shared" si="123"/>
        <v>766379</v>
      </c>
      <c r="AS61" s="3">
        <f t="shared" si="124"/>
        <v>14526</v>
      </c>
      <c r="AT61" s="26">
        <f t="shared" si="125"/>
        <v>456</v>
      </c>
    </row>
    <row r="62" spans="1:46" x14ac:dyDescent="0.15">
      <c r="A62" s="146">
        <v>41883</v>
      </c>
      <c r="B62" s="3">
        <v>14696</v>
      </c>
      <c r="C62" s="115">
        <f t="shared" si="66"/>
        <v>0.1189295049729301</v>
      </c>
      <c r="D62" s="3">
        <v>123569</v>
      </c>
      <c r="E62" s="178">
        <v>754</v>
      </c>
      <c r="F62" s="115">
        <f t="shared" si="67"/>
        <v>0.40625</v>
      </c>
      <c r="G62" s="3">
        <v>1856</v>
      </c>
      <c r="H62" s="178">
        <v>34</v>
      </c>
      <c r="I62" s="115">
        <f t="shared" si="68"/>
        <v>0.77272727272727271</v>
      </c>
      <c r="J62" s="3">
        <v>44</v>
      </c>
      <c r="K62" s="195">
        <f t="shared" ref="K62:K67" si="129">+H62+E62+B62</f>
        <v>15484</v>
      </c>
      <c r="L62" s="115">
        <f t="shared" si="126"/>
        <v>0.12340896954626242</v>
      </c>
      <c r="M62" s="23">
        <f t="shared" ref="M62:M67" si="130">+J62+G62+D62</f>
        <v>125469</v>
      </c>
      <c r="N62" s="3">
        <v>169150</v>
      </c>
      <c r="O62" s="67">
        <f t="shared" si="74"/>
        <v>0.27934990660811576</v>
      </c>
      <c r="P62" s="174">
        <v>605513</v>
      </c>
      <c r="Q62" s="68">
        <v>5649</v>
      </c>
      <c r="R62" s="67">
        <f t="shared" si="75"/>
        <v>0.44947485677912158</v>
      </c>
      <c r="S62" s="40">
        <v>12568</v>
      </c>
      <c r="T62" s="68">
        <v>348</v>
      </c>
      <c r="U62" s="67">
        <f t="shared" si="76"/>
        <v>0.87</v>
      </c>
      <c r="V62" s="40">
        <v>400</v>
      </c>
      <c r="W62" s="63">
        <f t="shared" ref="W62:W67" si="131">+T62+Q62+N62</f>
        <v>175147</v>
      </c>
      <c r="X62" s="67">
        <f t="shared" si="128"/>
        <v>0.283188974277302</v>
      </c>
      <c r="Y62" s="26">
        <f t="shared" ref="Y62:Y67" si="132">+V62+S62+P62</f>
        <v>618481</v>
      </c>
      <c r="Z62" s="3">
        <v>63</v>
      </c>
      <c r="AA62" s="115">
        <f t="shared" si="71"/>
        <v>1.6921837228041901E-3</v>
      </c>
      <c r="AB62" s="40">
        <v>37230</v>
      </c>
      <c r="AC62" s="3">
        <v>52</v>
      </c>
      <c r="AD62" s="115">
        <f t="shared" si="72"/>
        <v>0.30057803468208094</v>
      </c>
      <c r="AE62" s="40">
        <v>173</v>
      </c>
      <c r="AF62" s="3">
        <v>8</v>
      </c>
      <c r="AG62" s="7">
        <f t="shared" si="73"/>
        <v>0.72727272727272729</v>
      </c>
      <c r="AH62" s="3">
        <v>11</v>
      </c>
      <c r="AI62" s="41">
        <f t="shared" ref="AI62:AI67" si="133">+AF62+AC62+Z62</f>
        <v>123</v>
      </c>
      <c r="AJ62" s="7">
        <f t="shared" si="127"/>
        <v>3.2875394237451222E-3</v>
      </c>
      <c r="AK62" s="44">
        <f t="shared" ref="AK62:AK67" si="134">+AH62+AE62+AB62</f>
        <v>37414</v>
      </c>
      <c r="AL62" s="117">
        <f t="shared" ref="AL62:AL67" si="135">(B62+N62+Z62)/AR62</f>
        <v>0.23999232688513294</v>
      </c>
      <c r="AM62" s="115">
        <f t="shared" ref="AM62:AM67" si="136">(E62+Q62+AC62)/AS62</f>
        <v>0.4422141535932041</v>
      </c>
      <c r="AN62" s="7">
        <f t="shared" ref="AN62:AN67" si="137">(H62+T62+AF62)/AT62</f>
        <v>0.8571428571428571</v>
      </c>
      <c r="AO62" s="171">
        <f t="shared" ref="AO62:AO67" si="138">AP62/AQ62</f>
        <v>0.23756114814039911</v>
      </c>
      <c r="AP62" s="63">
        <f t="shared" ref="AP62:AP67" si="139">AF62+AC62+Z62+T62+Q62+N62+H62+E62+B62</f>
        <v>190754</v>
      </c>
      <c r="AQ62" s="3">
        <f t="shared" ref="AQ62:AQ67" si="140">AH62+AF62+AE62+AC62+Z62+AB62+V62+T62+S62+Q62+P62+J62+H62+G62+E62+D62+B62</f>
        <v>802968</v>
      </c>
      <c r="AR62" s="116">
        <f t="shared" ref="AR62:AR67" si="141">+D62+P62+AB62</f>
        <v>766312</v>
      </c>
      <c r="AS62" s="3">
        <f t="shared" ref="AS62:AS67" si="142">G62+S62+AE62</f>
        <v>14597</v>
      </c>
      <c r="AT62" s="26">
        <f t="shared" ref="AT62:AT67" si="143">J62+V62+AH62</f>
        <v>455</v>
      </c>
    </row>
    <row r="63" spans="1:46" x14ac:dyDescent="0.15">
      <c r="A63" s="146">
        <v>41852</v>
      </c>
      <c r="B63" s="3">
        <v>15157</v>
      </c>
      <c r="C63" s="115">
        <f t="shared" si="66"/>
        <v>0.12242936301513707</v>
      </c>
      <c r="D63" s="3">
        <v>123802</v>
      </c>
      <c r="E63" s="178">
        <v>753</v>
      </c>
      <c r="F63" s="115">
        <f t="shared" si="67"/>
        <v>0.40440386680988183</v>
      </c>
      <c r="G63" s="3">
        <v>1862</v>
      </c>
      <c r="H63" s="178">
        <v>34</v>
      </c>
      <c r="I63" s="115">
        <f t="shared" si="68"/>
        <v>0.75555555555555554</v>
      </c>
      <c r="J63" s="3">
        <v>45</v>
      </c>
      <c r="K63" s="195">
        <f t="shared" si="129"/>
        <v>15944</v>
      </c>
      <c r="L63" s="115">
        <f t="shared" si="126"/>
        <v>0.12683260546182054</v>
      </c>
      <c r="M63" s="23">
        <f t="shared" si="130"/>
        <v>125709</v>
      </c>
      <c r="N63" s="3">
        <v>174268</v>
      </c>
      <c r="O63" s="67">
        <f t="shared" si="74"/>
        <v>0.28795251794043925</v>
      </c>
      <c r="P63" s="174">
        <v>605197</v>
      </c>
      <c r="Q63" s="68">
        <v>5726</v>
      </c>
      <c r="R63" s="67">
        <f t="shared" si="75"/>
        <v>0.4527913964890084</v>
      </c>
      <c r="S63" s="40">
        <v>12646</v>
      </c>
      <c r="T63" s="68">
        <v>350</v>
      </c>
      <c r="U63" s="67">
        <f t="shared" si="76"/>
        <v>0.88161209068010071</v>
      </c>
      <c r="V63" s="40">
        <v>397</v>
      </c>
      <c r="W63" s="63">
        <f t="shared" si="131"/>
        <v>180344</v>
      </c>
      <c r="X63" s="67">
        <f t="shared" si="128"/>
        <v>0.29170548654244305</v>
      </c>
      <c r="Y63" s="26">
        <f t="shared" si="132"/>
        <v>618240</v>
      </c>
      <c r="Z63" s="3">
        <v>63</v>
      </c>
      <c r="AA63" s="115">
        <f t="shared" si="71"/>
        <v>1.6928202923473775E-3</v>
      </c>
      <c r="AB63" s="40">
        <v>37216</v>
      </c>
      <c r="AC63" s="3">
        <v>53</v>
      </c>
      <c r="AD63" s="115">
        <f t="shared" si="72"/>
        <v>0.3045977011494253</v>
      </c>
      <c r="AE63" s="40">
        <v>174</v>
      </c>
      <c r="AF63" s="3">
        <v>9</v>
      </c>
      <c r="AG63" s="7">
        <f t="shared" si="73"/>
        <v>0.75</v>
      </c>
      <c r="AH63" s="3">
        <v>12</v>
      </c>
      <c r="AI63" s="41">
        <f t="shared" si="133"/>
        <v>125</v>
      </c>
      <c r="AJ63" s="7">
        <f t="shared" si="127"/>
        <v>3.3420672691299932E-3</v>
      </c>
      <c r="AK63" s="44">
        <f t="shared" si="134"/>
        <v>37402</v>
      </c>
      <c r="AL63" s="117">
        <f t="shared" si="135"/>
        <v>0.24730395515618983</v>
      </c>
      <c r="AM63" s="115">
        <f t="shared" si="136"/>
        <v>0.44489851518866641</v>
      </c>
      <c r="AN63" s="7">
        <f t="shared" si="137"/>
        <v>0.86563876651982374</v>
      </c>
      <c r="AO63" s="171">
        <f t="shared" si="138"/>
        <v>0.24444801218674392</v>
      </c>
      <c r="AP63" s="63">
        <f t="shared" si="139"/>
        <v>196413</v>
      </c>
      <c r="AQ63" s="3">
        <f t="shared" si="140"/>
        <v>803496</v>
      </c>
      <c r="AR63" s="116">
        <f t="shared" si="141"/>
        <v>766215</v>
      </c>
      <c r="AS63" s="3">
        <f t="shared" si="142"/>
        <v>14682</v>
      </c>
      <c r="AT63" s="26">
        <f t="shared" si="143"/>
        <v>454</v>
      </c>
    </row>
    <row r="64" spans="1:46" x14ac:dyDescent="0.15">
      <c r="A64" s="146">
        <v>41821</v>
      </c>
      <c r="B64" s="3">
        <v>15454</v>
      </c>
      <c r="C64" s="115">
        <f t="shared" si="66"/>
        <v>0.12494542632149151</v>
      </c>
      <c r="D64" s="3">
        <v>123686</v>
      </c>
      <c r="E64" s="178">
        <v>755</v>
      </c>
      <c r="F64" s="115">
        <f t="shared" si="67"/>
        <v>0.40569586243954864</v>
      </c>
      <c r="G64" s="3">
        <v>1861</v>
      </c>
      <c r="H64" s="178">
        <v>34</v>
      </c>
      <c r="I64" s="115">
        <f t="shared" si="68"/>
        <v>0.75555555555555554</v>
      </c>
      <c r="J64" s="3">
        <v>45</v>
      </c>
      <c r="K64" s="195">
        <f t="shared" si="129"/>
        <v>16243</v>
      </c>
      <c r="L64" s="115">
        <f t="shared" ref="L64:L70" si="144">K64/M64</f>
        <v>0.12933148608191605</v>
      </c>
      <c r="M64" s="23">
        <f t="shared" si="130"/>
        <v>125592</v>
      </c>
      <c r="N64" s="3">
        <v>175851</v>
      </c>
      <c r="O64" s="67">
        <f t="shared" si="74"/>
        <v>0.29069404150859185</v>
      </c>
      <c r="P64" s="174">
        <v>604935</v>
      </c>
      <c r="Q64" s="68">
        <v>5660</v>
      </c>
      <c r="R64" s="67">
        <f t="shared" si="75"/>
        <v>0.45334401281537845</v>
      </c>
      <c r="S64" s="40">
        <v>12485</v>
      </c>
      <c r="T64" s="68">
        <v>350</v>
      </c>
      <c r="U64" s="67">
        <f t="shared" si="76"/>
        <v>0.87939698492462315</v>
      </c>
      <c r="V64" s="40">
        <v>398</v>
      </c>
      <c r="W64" s="63">
        <f t="shared" si="131"/>
        <v>181861</v>
      </c>
      <c r="X64" s="67">
        <f t="shared" si="128"/>
        <v>0.2943601513714395</v>
      </c>
      <c r="Y64" s="26">
        <f t="shared" si="132"/>
        <v>617818</v>
      </c>
      <c r="Z64" s="3">
        <v>62</v>
      </c>
      <c r="AA64" s="115">
        <f t="shared" si="71"/>
        <v>1.6655473472128946E-3</v>
      </c>
      <c r="AB64" s="40">
        <v>37225</v>
      </c>
      <c r="AC64" s="3">
        <v>54</v>
      </c>
      <c r="AD64" s="115">
        <f t="shared" si="72"/>
        <v>0.3016759776536313</v>
      </c>
      <c r="AE64" s="40">
        <v>179</v>
      </c>
      <c r="AF64" s="3">
        <v>9</v>
      </c>
      <c r="AG64" s="7">
        <f t="shared" si="73"/>
        <v>0.75</v>
      </c>
      <c r="AH64" s="3">
        <v>12</v>
      </c>
      <c r="AI64" s="41">
        <f t="shared" si="133"/>
        <v>125</v>
      </c>
      <c r="AJ64" s="7">
        <f t="shared" ref="AJ64:AJ70" si="145">AI64/AK64</f>
        <v>3.3408167628821896E-3</v>
      </c>
      <c r="AK64" s="44">
        <f t="shared" si="134"/>
        <v>37416</v>
      </c>
      <c r="AL64" s="117">
        <f t="shared" si="135"/>
        <v>0.24987660704632525</v>
      </c>
      <c r="AM64" s="115">
        <f t="shared" si="136"/>
        <v>0.4453700516351119</v>
      </c>
      <c r="AN64" s="7">
        <f t="shared" si="137"/>
        <v>0.86373626373626378</v>
      </c>
      <c r="AO64" s="171">
        <f t="shared" si="138"/>
        <v>0.24679782471202832</v>
      </c>
      <c r="AP64" s="63">
        <f t="shared" si="139"/>
        <v>198229</v>
      </c>
      <c r="AQ64" s="3">
        <f t="shared" si="140"/>
        <v>803204</v>
      </c>
      <c r="AR64" s="116">
        <f t="shared" si="141"/>
        <v>765846</v>
      </c>
      <c r="AS64" s="3">
        <f t="shared" si="142"/>
        <v>14525</v>
      </c>
      <c r="AT64" s="26">
        <f t="shared" si="143"/>
        <v>455</v>
      </c>
    </row>
    <row r="65" spans="1:46" x14ac:dyDescent="0.15">
      <c r="A65" s="146">
        <v>41791</v>
      </c>
      <c r="B65" s="3">
        <v>15558</v>
      </c>
      <c r="C65" s="115">
        <f t="shared" si="66"/>
        <v>0.1259573503456986</v>
      </c>
      <c r="D65" s="3">
        <v>123518</v>
      </c>
      <c r="E65" s="178">
        <v>754</v>
      </c>
      <c r="F65" s="115">
        <f t="shared" si="67"/>
        <v>0.40494092373791624</v>
      </c>
      <c r="G65" s="3">
        <v>1862</v>
      </c>
      <c r="H65" s="178">
        <v>34</v>
      </c>
      <c r="I65" s="115">
        <f t="shared" si="68"/>
        <v>0.77272727272727271</v>
      </c>
      <c r="J65" s="3">
        <v>44</v>
      </c>
      <c r="K65" s="195">
        <f t="shared" si="129"/>
        <v>16346</v>
      </c>
      <c r="L65" s="115">
        <f t="shared" si="144"/>
        <v>0.13032593443041204</v>
      </c>
      <c r="M65" s="23">
        <f t="shared" si="130"/>
        <v>125424</v>
      </c>
      <c r="N65" s="3">
        <v>177183</v>
      </c>
      <c r="O65" s="67">
        <f t="shared" si="74"/>
        <v>0.29304561828303777</v>
      </c>
      <c r="P65" s="174">
        <v>604626</v>
      </c>
      <c r="Q65" s="68">
        <v>5696</v>
      </c>
      <c r="R65" s="67">
        <f t="shared" si="75"/>
        <v>0.45397306128955128</v>
      </c>
      <c r="S65" s="40">
        <v>12547</v>
      </c>
      <c r="T65" s="68">
        <v>349</v>
      </c>
      <c r="U65" s="67">
        <f t="shared" si="76"/>
        <v>0.8835443037974684</v>
      </c>
      <c r="V65" s="40">
        <v>395</v>
      </c>
      <c r="W65" s="63">
        <f t="shared" si="131"/>
        <v>183228</v>
      </c>
      <c r="X65" s="67">
        <f t="shared" si="128"/>
        <v>0.29669283382558681</v>
      </c>
      <c r="Y65" s="26">
        <f t="shared" si="132"/>
        <v>617568</v>
      </c>
      <c r="Z65" s="3">
        <v>63</v>
      </c>
      <c r="AA65" s="115">
        <f t="shared" si="71"/>
        <v>1.6928202923473775E-3</v>
      </c>
      <c r="AB65" s="40">
        <v>37216</v>
      </c>
      <c r="AC65" s="3">
        <v>54</v>
      </c>
      <c r="AD65" s="115">
        <f t="shared" si="72"/>
        <v>0.3016759776536313</v>
      </c>
      <c r="AE65" s="40">
        <v>179</v>
      </c>
      <c r="AF65" s="3">
        <v>8</v>
      </c>
      <c r="AG65" s="7">
        <f t="shared" si="73"/>
        <v>0.8</v>
      </c>
      <c r="AH65" s="3">
        <v>10</v>
      </c>
      <c r="AI65" s="41">
        <f t="shared" si="133"/>
        <v>125</v>
      </c>
      <c r="AJ65" s="7">
        <f t="shared" si="145"/>
        <v>3.3417992247025798E-3</v>
      </c>
      <c r="AK65" s="44">
        <f t="shared" si="134"/>
        <v>37405</v>
      </c>
      <c r="AL65" s="117">
        <f t="shared" si="135"/>
        <v>0.25191282533709625</v>
      </c>
      <c r="AM65" s="115">
        <f t="shared" si="136"/>
        <v>0.44584590074033453</v>
      </c>
      <c r="AN65" s="7">
        <f t="shared" si="137"/>
        <v>0.87082405345211578</v>
      </c>
      <c r="AO65" s="171">
        <f t="shared" si="138"/>
        <v>0.24871810519944254</v>
      </c>
      <c r="AP65" s="63">
        <f t="shared" si="139"/>
        <v>199699</v>
      </c>
      <c r="AQ65" s="3">
        <f t="shared" si="140"/>
        <v>802913</v>
      </c>
      <c r="AR65" s="116">
        <f t="shared" si="141"/>
        <v>765360</v>
      </c>
      <c r="AS65" s="3">
        <f t="shared" si="142"/>
        <v>14588</v>
      </c>
      <c r="AT65" s="26">
        <f t="shared" si="143"/>
        <v>449</v>
      </c>
    </row>
    <row r="66" spans="1:46" x14ac:dyDescent="0.15">
      <c r="A66" s="146">
        <v>41760</v>
      </c>
      <c r="B66" s="3">
        <v>15604</v>
      </c>
      <c r="C66" s="115">
        <f t="shared" si="66"/>
        <v>0.12679787424225186</v>
      </c>
      <c r="D66" s="3">
        <v>123062</v>
      </c>
      <c r="E66" s="178">
        <v>748</v>
      </c>
      <c r="F66" s="115">
        <f t="shared" si="67"/>
        <v>0.40301724137931033</v>
      </c>
      <c r="G66" s="3">
        <v>1856</v>
      </c>
      <c r="H66" s="178">
        <v>34</v>
      </c>
      <c r="I66" s="115">
        <f t="shared" si="68"/>
        <v>0.77272727272727271</v>
      </c>
      <c r="J66" s="3">
        <v>44</v>
      </c>
      <c r="K66" s="195">
        <f t="shared" si="129"/>
        <v>16386</v>
      </c>
      <c r="L66" s="115">
        <f t="shared" si="144"/>
        <v>0.13112786287031258</v>
      </c>
      <c r="M66" s="23">
        <f t="shared" si="130"/>
        <v>124962</v>
      </c>
      <c r="N66" s="3">
        <v>177771</v>
      </c>
      <c r="O66" s="67">
        <f t="shared" si="74"/>
        <v>0.29418549617562662</v>
      </c>
      <c r="P66" s="174">
        <v>604282</v>
      </c>
      <c r="Q66" s="68">
        <v>5671</v>
      </c>
      <c r="R66" s="67">
        <f t="shared" si="75"/>
        <v>0.45579488828162673</v>
      </c>
      <c r="S66" s="40">
        <v>12442</v>
      </c>
      <c r="T66" s="68">
        <v>350</v>
      </c>
      <c r="U66" s="67">
        <f t="shared" si="76"/>
        <v>0.875</v>
      </c>
      <c r="V66" s="40">
        <v>400</v>
      </c>
      <c r="W66" s="63">
        <f t="shared" si="131"/>
        <v>183792</v>
      </c>
      <c r="X66" s="67">
        <f t="shared" si="128"/>
        <v>0.29782021117311919</v>
      </c>
      <c r="Y66" s="26">
        <f t="shared" si="132"/>
        <v>617124</v>
      </c>
      <c r="Z66" s="3">
        <v>64</v>
      </c>
      <c r="AA66" s="115">
        <f t="shared" si="71"/>
        <v>1.7194594449369978E-3</v>
      </c>
      <c r="AB66" s="40">
        <v>37221</v>
      </c>
      <c r="AC66" s="3">
        <v>54</v>
      </c>
      <c r="AD66" s="115">
        <f t="shared" si="72"/>
        <v>0.30337078651685395</v>
      </c>
      <c r="AE66" s="40">
        <v>178</v>
      </c>
      <c r="AF66" s="3">
        <v>8</v>
      </c>
      <c r="AG66" s="7">
        <f t="shared" si="73"/>
        <v>0.8</v>
      </c>
      <c r="AH66" s="3">
        <v>10</v>
      </c>
      <c r="AI66" s="41">
        <f t="shared" si="133"/>
        <v>126</v>
      </c>
      <c r="AJ66" s="7">
        <f t="shared" si="145"/>
        <v>3.3681734342003262E-3</v>
      </c>
      <c r="AK66" s="44">
        <f t="shared" si="134"/>
        <v>37409</v>
      </c>
      <c r="AL66" s="117">
        <f t="shared" si="135"/>
        <v>0.25300530366940677</v>
      </c>
      <c r="AM66" s="115">
        <f t="shared" si="136"/>
        <v>0.44715390991986737</v>
      </c>
      <c r="AN66" s="7">
        <f t="shared" si="137"/>
        <v>0.86343612334801767</v>
      </c>
      <c r="AO66" s="171">
        <f t="shared" si="138"/>
        <v>0.24974689162971866</v>
      </c>
      <c r="AP66" s="63">
        <f t="shared" si="139"/>
        <v>200304</v>
      </c>
      <c r="AQ66" s="3">
        <f t="shared" si="140"/>
        <v>802028</v>
      </c>
      <c r="AR66" s="116">
        <f t="shared" si="141"/>
        <v>764565</v>
      </c>
      <c r="AS66" s="3">
        <f t="shared" si="142"/>
        <v>14476</v>
      </c>
      <c r="AT66" s="26">
        <f t="shared" si="143"/>
        <v>454</v>
      </c>
    </row>
    <row r="67" spans="1:46" x14ac:dyDescent="0.15">
      <c r="A67" s="146">
        <v>41730</v>
      </c>
      <c r="B67" s="3">
        <v>15499</v>
      </c>
      <c r="C67" s="115">
        <f t="shared" si="66"/>
        <v>0.12676770568364917</v>
      </c>
      <c r="D67" s="3">
        <v>122263</v>
      </c>
      <c r="E67" s="178">
        <v>746</v>
      </c>
      <c r="F67" s="115">
        <f t="shared" si="67"/>
        <v>0.40698308783415166</v>
      </c>
      <c r="G67" s="3">
        <v>1833</v>
      </c>
      <c r="H67" s="178">
        <v>33</v>
      </c>
      <c r="I67" s="115">
        <f t="shared" si="68"/>
        <v>0.75</v>
      </c>
      <c r="J67" s="3">
        <v>44</v>
      </c>
      <c r="K67" s="195">
        <f t="shared" si="129"/>
        <v>16278</v>
      </c>
      <c r="L67" s="115">
        <f t="shared" si="144"/>
        <v>0.13112614789753504</v>
      </c>
      <c r="M67" s="23">
        <f t="shared" si="130"/>
        <v>124140</v>
      </c>
      <c r="N67" s="3">
        <v>177415</v>
      </c>
      <c r="O67" s="67">
        <f t="shared" si="74"/>
        <v>0.2932396940912404</v>
      </c>
      <c r="P67" s="174">
        <v>605017</v>
      </c>
      <c r="Q67" s="68">
        <v>5679</v>
      </c>
      <c r="R67" s="67">
        <f t="shared" si="75"/>
        <v>0.45607131384516542</v>
      </c>
      <c r="S67" s="40">
        <v>12452</v>
      </c>
      <c r="T67" s="68">
        <v>349</v>
      </c>
      <c r="U67" s="67">
        <f t="shared" si="76"/>
        <v>0.87468671679197996</v>
      </c>
      <c r="V67" s="40">
        <v>399</v>
      </c>
      <c r="W67" s="63">
        <f t="shared" si="131"/>
        <v>183443</v>
      </c>
      <c r="X67" s="67">
        <f t="shared" si="128"/>
        <v>0.29689674817274886</v>
      </c>
      <c r="Y67" s="26">
        <f t="shared" si="132"/>
        <v>617868</v>
      </c>
      <c r="Z67" s="3">
        <v>62</v>
      </c>
      <c r="AA67" s="115">
        <f t="shared" si="71"/>
        <v>1.6692692908297883E-3</v>
      </c>
      <c r="AB67" s="40">
        <v>37142</v>
      </c>
      <c r="AC67" s="3">
        <v>54</v>
      </c>
      <c r="AD67" s="115">
        <f t="shared" si="72"/>
        <v>0.3</v>
      </c>
      <c r="AE67" s="40">
        <v>180</v>
      </c>
      <c r="AF67" s="3">
        <v>8</v>
      </c>
      <c r="AG67" s="7">
        <f t="shared" si="73"/>
        <v>0.8</v>
      </c>
      <c r="AH67" s="3">
        <v>10</v>
      </c>
      <c r="AI67" s="41">
        <f t="shared" si="133"/>
        <v>124</v>
      </c>
      <c r="AJ67" s="7">
        <f t="shared" si="145"/>
        <v>3.3215471981142184E-3</v>
      </c>
      <c r="AK67" s="44">
        <f t="shared" si="134"/>
        <v>37332</v>
      </c>
      <c r="AL67" s="117">
        <f t="shared" si="135"/>
        <v>0.25244694684349744</v>
      </c>
      <c r="AM67" s="115">
        <f t="shared" si="136"/>
        <v>0.4479087452471483</v>
      </c>
      <c r="AN67" s="7">
        <f t="shared" si="137"/>
        <v>0.86092715231788075</v>
      </c>
      <c r="AO67" s="171">
        <f t="shared" si="138"/>
        <v>0.24925477381293887</v>
      </c>
      <c r="AP67" s="63">
        <f t="shared" si="139"/>
        <v>199845</v>
      </c>
      <c r="AQ67" s="3">
        <f t="shared" si="140"/>
        <v>801770</v>
      </c>
      <c r="AR67" s="116">
        <f t="shared" si="141"/>
        <v>764422</v>
      </c>
      <c r="AS67" s="3">
        <f t="shared" si="142"/>
        <v>14465</v>
      </c>
      <c r="AT67" s="26">
        <f t="shared" si="143"/>
        <v>453</v>
      </c>
    </row>
    <row r="68" spans="1:46" x14ac:dyDescent="0.15">
      <c r="A68" s="146">
        <v>41699</v>
      </c>
      <c r="B68" s="3">
        <v>15268</v>
      </c>
      <c r="C68" s="115">
        <f t="shared" si="66"/>
        <v>0.12521836120428767</v>
      </c>
      <c r="D68" s="3">
        <v>121931</v>
      </c>
      <c r="E68" s="178">
        <v>736</v>
      </c>
      <c r="F68" s="115">
        <f t="shared" si="67"/>
        <v>0.41605426794799322</v>
      </c>
      <c r="G68" s="3">
        <v>1769</v>
      </c>
      <c r="H68" s="178">
        <v>34</v>
      </c>
      <c r="I68" s="115">
        <f t="shared" si="68"/>
        <v>0.77272727272727271</v>
      </c>
      <c r="J68" s="3">
        <v>44</v>
      </c>
      <c r="K68" s="195">
        <f t="shared" ref="K68:K73" si="146">+H68+E68+B68</f>
        <v>16038</v>
      </c>
      <c r="L68" s="115">
        <f t="shared" si="144"/>
        <v>0.12960628394103957</v>
      </c>
      <c r="M68" s="23">
        <f t="shared" ref="M68:M73" si="147">+J68+G68+D68</f>
        <v>123744</v>
      </c>
      <c r="N68" s="3">
        <v>177045</v>
      </c>
      <c r="O68" s="67">
        <f t="shared" si="74"/>
        <v>0.29285079818776394</v>
      </c>
      <c r="P68" s="174">
        <v>604557</v>
      </c>
      <c r="Q68" s="68">
        <v>5681</v>
      </c>
      <c r="R68" s="67">
        <f t="shared" si="75"/>
        <v>0.45777598710717166</v>
      </c>
      <c r="S68" s="40">
        <v>12410</v>
      </c>
      <c r="T68" s="68">
        <v>352</v>
      </c>
      <c r="U68" s="67">
        <f t="shared" si="76"/>
        <v>0.87780548628428923</v>
      </c>
      <c r="V68" s="40">
        <v>401</v>
      </c>
      <c r="W68" s="63">
        <f t="shared" ref="W68:W73" si="148">+T68+Q68+N68</f>
        <v>183078</v>
      </c>
      <c r="X68" s="67">
        <f t="shared" ref="X68:X74" si="149">W68/Y68</f>
        <v>0.29654598229905016</v>
      </c>
      <c r="Y68" s="26">
        <f t="shared" ref="Y68:Y73" si="150">+V68+S68+P68</f>
        <v>617368</v>
      </c>
      <c r="Z68" s="3">
        <v>53</v>
      </c>
      <c r="AA68" s="115">
        <f t="shared" si="71"/>
        <v>1.4253059029178431E-3</v>
      </c>
      <c r="AB68" s="40">
        <v>37185</v>
      </c>
      <c r="AC68" s="3">
        <v>53</v>
      </c>
      <c r="AD68" s="115">
        <f t="shared" si="72"/>
        <v>0.29444444444444445</v>
      </c>
      <c r="AE68" s="40">
        <v>180</v>
      </c>
      <c r="AF68" s="3">
        <v>8</v>
      </c>
      <c r="AG68" s="7">
        <f t="shared" si="73"/>
        <v>0.8</v>
      </c>
      <c r="AH68" s="3">
        <v>10</v>
      </c>
      <c r="AI68" s="41">
        <f t="shared" ref="AI68:AI73" si="151">+AF68+AC68+Z68</f>
        <v>114</v>
      </c>
      <c r="AJ68" s="7">
        <f t="shared" si="145"/>
        <v>3.0501672240802677E-3</v>
      </c>
      <c r="AK68" s="44">
        <f t="shared" ref="AK68:AK73" si="152">+AH68+AE68+AB68</f>
        <v>37375</v>
      </c>
      <c r="AL68" s="117">
        <f t="shared" ref="AL68:AL73" si="153">(B68+N68+Z68)/AR68</f>
        <v>0.25189577214331266</v>
      </c>
      <c r="AM68" s="115">
        <f t="shared" ref="AM68:AM73" si="154">(E68+Q68+AC68)/AS68</f>
        <v>0.45058848109199806</v>
      </c>
      <c r="AN68" s="7">
        <f t="shared" ref="AN68:AN73" si="155">(H68+T68+AF68)/AT68</f>
        <v>0.86593406593406597</v>
      </c>
      <c r="AO68" s="171">
        <f t="shared" ref="AO68:AO73" si="156">AP68/AQ68</f>
        <v>0.24882848407337838</v>
      </c>
      <c r="AP68" s="63">
        <f t="shared" ref="AP68:AP73" si="157">AF68+AC68+Z68+T68+Q68+N68+H68+E68+B68</f>
        <v>199230</v>
      </c>
      <c r="AQ68" s="3">
        <f t="shared" ref="AQ68:AQ73" si="158">AH68+AF68+AE68+AC68+Z68+AB68+V68+T68+S68+Q68+P68+J68+H68+G68+E68+D68+B68</f>
        <v>800672</v>
      </c>
      <c r="AR68" s="116">
        <f t="shared" ref="AR68:AR73" si="159">+D68+P68+AB68</f>
        <v>763673</v>
      </c>
      <c r="AS68" s="3">
        <f t="shared" ref="AS68:AS73" si="160">G68+S68+AE68</f>
        <v>14359</v>
      </c>
      <c r="AT68" s="26">
        <f t="shared" ref="AT68:AT73" si="161">J68+V68+AH68</f>
        <v>455</v>
      </c>
    </row>
    <row r="69" spans="1:46" x14ac:dyDescent="0.15">
      <c r="A69" s="146">
        <v>41671</v>
      </c>
      <c r="B69" s="3">
        <v>15197</v>
      </c>
      <c r="C69" s="115">
        <f t="shared" si="66"/>
        <v>0.1246125588336586</v>
      </c>
      <c r="D69" s="3">
        <v>121954</v>
      </c>
      <c r="E69" s="178">
        <v>721</v>
      </c>
      <c r="F69" s="115">
        <f t="shared" si="67"/>
        <v>0.41508347725964306</v>
      </c>
      <c r="G69" s="3">
        <v>1737</v>
      </c>
      <c r="H69" s="178">
        <v>33</v>
      </c>
      <c r="I69" s="115">
        <f t="shared" si="68"/>
        <v>0.71739130434782605</v>
      </c>
      <c r="J69" s="3">
        <v>46</v>
      </c>
      <c r="K69" s="195">
        <f t="shared" si="146"/>
        <v>15951</v>
      </c>
      <c r="L69" s="115">
        <f t="shared" si="144"/>
        <v>0.1289105118113418</v>
      </c>
      <c r="M69" s="23">
        <f t="shared" si="147"/>
        <v>123737</v>
      </c>
      <c r="N69" s="3">
        <v>178102</v>
      </c>
      <c r="O69" s="67">
        <f t="shared" si="74"/>
        <v>0.29443749183734536</v>
      </c>
      <c r="P69" s="174">
        <v>604889</v>
      </c>
      <c r="Q69" s="68">
        <v>5684</v>
      </c>
      <c r="R69" s="67">
        <f t="shared" si="75"/>
        <v>0.45890521556596159</v>
      </c>
      <c r="S69" s="40">
        <v>12386</v>
      </c>
      <c r="T69" s="68">
        <v>350</v>
      </c>
      <c r="U69" s="67">
        <f t="shared" si="76"/>
        <v>0.8771929824561403</v>
      </c>
      <c r="V69" s="40">
        <v>399</v>
      </c>
      <c r="W69" s="63">
        <f t="shared" si="148"/>
        <v>184136</v>
      </c>
      <c r="X69" s="67">
        <f t="shared" si="149"/>
        <v>0.29811194902165222</v>
      </c>
      <c r="Y69" s="26">
        <f t="shared" si="150"/>
        <v>617674</v>
      </c>
      <c r="Z69" s="3">
        <v>53</v>
      </c>
      <c r="AA69" s="115">
        <f t="shared" si="71"/>
        <v>1.4253825673022618E-3</v>
      </c>
      <c r="AB69" s="40">
        <v>37183</v>
      </c>
      <c r="AC69" s="3">
        <v>53</v>
      </c>
      <c r="AD69" s="115">
        <f t="shared" si="72"/>
        <v>0.29444444444444445</v>
      </c>
      <c r="AE69" s="40">
        <v>180</v>
      </c>
      <c r="AF69" s="3">
        <v>8</v>
      </c>
      <c r="AG69" s="7">
        <f t="shared" si="73"/>
        <v>0.72727272727272729</v>
      </c>
      <c r="AH69" s="3">
        <v>11</v>
      </c>
      <c r="AI69" s="41">
        <f t="shared" si="151"/>
        <v>114</v>
      </c>
      <c r="AJ69" s="7">
        <f t="shared" si="145"/>
        <v>3.0502488360892601E-3</v>
      </c>
      <c r="AK69" s="44">
        <f t="shared" si="152"/>
        <v>37374</v>
      </c>
      <c r="AL69" s="117">
        <f t="shared" si="153"/>
        <v>0.2530699217042352</v>
      </c>
      <c r="AM69" s="115">
        <f t="shared" si="154"/>
        <v>0.45151366846116198</v>
      </c>
      <c r="AN69" s="7">
        <f t="shared" si="155"/>
        <v>0.85745614035087714</v>
      </c>
      <c r="AO69" s="171">
        <f t="shared" si="156"/>
        <v>0.24997502759450807</v>
      </c>
      <c r="AP69" s="63">
        <f t="shared" si="157"/>
        <v>200201</v>
      </c>
      <c r="AQ69" s="3">
        <f t="shared" si="158"/>
        <v>800884</v>
      </c>
      <c r="AR69" s="116">
        <f t="shared" si="159"/>
        <v>764026</v>
      </c>
      <c r="AS69" s="3">
        <f t="shared" si="160"/>
        <v>14303</v>
      </c>
      <c r="AT69" s="26">
        <f t="shared" si="161"/>
        <v>456</v>
      </c>
    </row>
    <row r="70" spans="1:46" x14ac:dyDescent="0.15">
      <c r="A70" s="146">
        <v>41640</v>
      </c>
      <c r="B70" s="3">
        <v>15275</v>
      </c>
      <c r="C70" s="115">
        <f t="shared" si="66"/>
        <v>0.12527063377509512</v>
      </c>
      <c r="D70" s="3">
        <v>121936</v>
      </c>
      <c r="E70" s="178">
        <v>719</v>
      </c>
      <c r="F70" s="115">
        <f t="shared" si="67"/>
        <v>0.41393206678180772</v>
      </c>
      <c r="G70" s="3">
        <v>1737</v>
      </c>
      <c r="H70" s="178">
        <v>33</v>
      </c>
      <c r="I70" s="115">
        <f t="shared" si="68"/>
        <v>0.75</v>
      </c>
      <c r="J70" s="3">
        <v>44</v>
      </c>
      <c r="K70" s="195">
        <f t="shared" si="146"/>
        <v>16027</v>
      </c>
      <c r="L70" s="115">
        <f t="shared" si="144"/>
        <v>0.12954565661954298</v>
      </c>
      <c r="M70" s="23">
        <f t="shared" si="147"/>
        <v>123717</v>
      </c>
      <c r="N70" s="3">
        <v>192381</v>
      </c>
      <c r="O70" s="67">
        <f t="shared" si="74"/>
        <v>0.3182860489586849</v>
      </c>
      <c r="P70" s="174">
        <v>604428</v>
      </c>
      <c r="Q70" s="68">
        <v>5955</v>
      </c>
      <c r="R70" s="67">
        <f t="shared" si="75"/>
        <v>0.47842853699686672</v>
      </c>
      <c r="S70" s="40">
        <v>12447</v>
      </c>
      <c r="T70" s="68">
        <v>346</v>
      </c>
      <c r="U70" s="67">
        <f t="shared" si="76"/>
        <v>0.87817258883248728</v>
      </c>
      <c r="V70" s="40">
        <v>394</v>
      </c>
      <c r="W70" s="63">
        <f t="shared" si="148"/>
        <v>198682</v>
      </c>
      <c r="X70" s="67">
        <f t="shared" si="149"/>
        <v>0.321872635755238</v>
      </c>
      <c r="Y70" s="26">
        <f t="shared" si="150"/>
        <v>617269</v>
      </c>
      <c r="Z70" s="3">
        <v>53</v>
      </c>
      <c r="AA70" s="115">
        <f t="shared" si="71"/>
        <v>1.4250759592374499E-3</v>
      </c>
      <c r="AB70" s="40">
        <v>37191</v>
      </c>
      <c r="AC70" s="3">
        <v>53</v>
      </c>
      <c r="AD70" s="115">
        <f t="shared" si="72"/>
        <v>0.29608938547486036</v>
      </c>
      <c r="AE70" s="40">
        <v>179</v>
      </c>
      <c r="AF70" s="3">
        <v>8</v>
      </c>
      <c r="AG70" s="7">
        <f t="shared" si="73"/>
        <v>0.72727272727272729</v>
      </c>
      <c r="AH70" s="3">
        <v>11</v>
      </c>
      <c r="AI70" s="41">
        <f t="shared" si="151"/>
        <v>114</v>
      </c>
      <c r="AJ70" s="7">
        <f t="shared" si="145"/>
        <v>3.0496776437227468E-3</v>
      </c>
      <c r="AK70" s="44">
        <f t="shared" si="152"/>
        <v>37381</v>
      </c>
      <c r="AL70" s="117">
        <f t="shared" si="153"/>
        <v>0.2720288649802568</v>
      </c>
      <c r="AM70" s="115">
        <f t="shared" si="154"/>
        <v>0.46835619299589221</v>
      </c>
      <c r="AN70" s="7">
        <f t="shared" si="155"/>
        <v>0.86191536748329622</v>
      </c>
      <c r="AO70" s="171">
        <f t="shared" si="156"/>
        <v>0.26825747462878163</v>
      </c>
      <c r="AP70" s="63">
        <f t="shared" si="157"/>
        <v>214823</v>
      </c>
      <c r="AQ70" s="3">
        <f t="shared" si="158"/>
        <v>800809</v>
      </c>
      <c r="AR70" s="116">
        <f t="shared" si="159"/>
        <v>763555</v>
      </c>
      <c r="AS70" s="3">
        <f t="shared" si="160"/>
        <v>14363</v>
      </c>
      <c r="AT70" s="26">
        <f t="shared" si="161"/>
        <v>449</v>
      </c>
    </row>
    <row r="71" spans="1:46" x14ac:dyDescent="0.15">
      <c r="A71" s="146">
        <v>41609</v>
      </c>
      <c r="B71" s="3">
        <v>15450</v>
      </c>
      <c r="C71" s="115">
        <f t="shared" si="66"/>
        <v>0.12658850133962588</v>
      </c>
      <c r="D71" s="3">
        <v>122049</v>
      </c>
      <c r="E71" s="178">
        <v>737</v>
      </c>
      <c r="F71" s="115">
        <f t="shared" si="67"/>
        <v>0.420662100456621</v>
      </c>
      <c r="G71" s="3">
        <v>1752</v>
      </c>
      <c r="H71" s="178">
        <v>34</v>
      </c>
      <c r="I71" s="115">
        <f t="shared" si="68"/>
        <v>0.77272727272727271</v>
      </c>
      <c r="J71" s="3">
        <v>44</v>
      </c>
      <c r="K71" s="195">
        <f t="shared" si="146"/>
        <v>16221</v>
      </c>
      <c r="L71" s="115">
        <f t="shared" ref="L71:L77" si="162">K71/M71</f>
        <v>0.13097823892769186</v>
      </c>
      <c r="M71" s="23">
        <f t="shared" si="147"/>
        <v>123845</v>
      </c>
      <c r="N71" s="3">
        <v>194865</v>
      </c>
      <c r="O71" s="67">
        <f t="shared" si="74"/>
        <v>0.32230986670283451</v>
      </c>
      <c r="P71" s="174">
        <v>604589</v>
      </c>
      <c r="Q71" s="68">
        <v>5840</v>
      </c>
      <c r="R71" s="67">
        <f t="shared" si="75"/>
        <v>0.47739720428349547</v>
      </c>
      <c r="S71" s="40">
        <v>12233</v>
      </c>
      <c r="T71" s="68">
        <v>341</v>
      </c>
      <c r="U71" s="67">
        <f t="shared" si="76"/>
        <v>0.88113695090439281</v>
      </c>
      <c r="V71" s="40">
        <v>387</v>
      </c>
      <c r="W71" s="63">
        <f t="shared" si="148"/>
        <v>201046</v>
      </c>
      <c r="X71" s="67">
        <f t="shared" si="149"/>
        <v>0.32573407063085602</v>
      </c>
      <c r="Y71" s="26">
        <f t="shared" si="150"/>
        <v>617209</v>
      </c>
      <c r="Z71" s="3">
        <v>52</v>
      </c>
      <c r="AA71" s="115">
        <f t="shared" si="71"/>
        <v>1.3970232658105423E-3</v>
      </c>
      <c r="AB71" s="40">
        <v>37222</v>
      </c>
      <c r="AC71" s="3">
        <v>53</v>
      </c>
      <c r="AD71" s="115">
        <f t="shared" si="72"/>
        <v>0.29120879120879123</v>
      </c>
      <c r="AE71" s="40">
        <v>182</v>
      </c>
      <c r="AF71" s="3">
        <v>8</v>
      </c>
      <c r="AG71" s="7">
        <f t="shared" si="73"/>
        <v>0.72727272727272729</v>
      </c>
      <c r="AH71" s="3">
        <v>11</v>
      </c>
      <c r="AI71" s="41">
        <f t="shared" si="151"/>
        <v>113</v>
      </c>
      <c r="AJ71" s="7">
        <f t="shared" ref="AJ71:AJ76" si="163">AI71/AK71</f>
        <v>3.0201790725644796E-3</v>
      </c>
      <c r="AK71" s="44">
        <f t="shared" si="152"/>
        <v>37415</v>
      </c>
      <c r="AL71" s="117">
        <f t="shared" si="153"/>
        <v>0.27539994239782162</v>
      </c>
      <c r="AM71" s="115">
        <f t="shared" si="154"/>
        <v>0.46798898849438836</v>
      </c>
      <c r="AN71" s="7">
        <f t="shared" si="155"/>
        <v>0.86651583710407243</v>
      </c>
      <c r="AO71" s="171">
        <f t="shared" si="156"/>
        <v>0.27139118883772961</v>
      </c>
      <c r="AP71" s="63">
        <f t="shared" si="157"/>
        <v>217380</v>
      </c>
      <c r="AQ71" s="3">
        <f t="shared" si="158"/>
        <v>800984</v>
      </c>
      <c r="AR71" s="116">
        <f t="shared" si="159"/>
        <v>763860</v>
      </c>
      <c r="AS71" s="3">
        <f t="shared" si="160"/>
        <v>14167</v>
      </c>
      <c r="AT71" s="26">
        <f t="shared" si="161"/>
        <v>442</v>
      </c>
    </row>
    <row r="72" spans="1:46" x14ac:dyDescent="0.15">
      <c r="A72" s="146">
        <v>41579</v>
      </c>
      <c r="B72" s="3">
        <v>18437</v>
      </c>
      <c r="C72" s="115">
        <f t="shared" si="66"/>
        <v>0.15088425687232493</v>
      </c>
      <c r="D72" s="3">
        <v>122193</v>
      </c>
      <c r="E72" s="178">
        <v>774</v>
      </c>
      <c r="F72" s="115">
        <f t="shared" si="67"/>
        <v>0.43852691218130313</v>
      </c>
      <c r="G72" s="3">
        <v>1765</v>
      </c>
      <c r="H72" s="178">
        <v>34</v>
      </c>
      <c r="I72" s="115">
        <f t="shared" si="68"/>
        <v>0.77272727272727271</v>
      </c>
      <c r="J72" s="3">
        <v>44</v>
      </c>
      <c r="K72" s="195">
        <f t="shared" si="146"/>
        <v>19245</v>
      </c>
      <c r="L72" s="115">
        <f t="shared" si="162"/>
        <v>0.15519910969177916</v>
      </c>
      <c r="M72" s="23">
        <f t="shared" si="147"/>
        <v>124002</v>
      </c>
      <c r="N72" s="3">
        <v>194517</v>
      </c>
      <c r="O72" s="67">
        <f t="shared" si="74"/>
        <v>0.32189346174849826</v>
      </c>
      <c r="P72" s="174">
        <v>604290</v>
      </c>
      <c r="Q72" s="68">
        <v>5883</v>
      </c>
      <c r="R72" s="67">
        <f t="shared" si="75"/>
        <v>0.48000979112271541</v>
      </c>
      <c r="S72" s="40">
        <v>12256</v>
      </c>
      <c r="T72" s="68">
        <v>350</v>
      </c>
      <c r="U72" s="67">
        <f t="shared" si="76"/>
        <v>0.88607594936708856</v>
      </c>
      <c r="V72" s="40">
        <v>395</v>
      </c>
      <c r="W72" s="63">
        <f t="shared" si="148"/>
        <v>200750</v>
      </c>
      <c r="X72" s="67">
        <f t="shared" si="149"/>
        <v>0.32539578338933545</v>
      </c>
      <c r="Y72" s="26">
        <f t="shared" si="150"/>
        <v>616941</v>
      </c>
      <c r="Z72" s="3">
        <v>51</v>
      </c>
      <c r="AA72" s="115">
        <f t="shared" si="71"/>
        <v>1.3686865976061404E-3</v>
      </c>
      <c r="AB72" s="40">
        <v>37262</v>
      </c>
      <c r="AC72" s="3">
        <v>52</v>
      </c>
      <c r="AD72" s="115">
        <f t="shared" si="72"/>
        <v>0.29213483146067415</v>
      </c>
      <c r="AE72" s="40">
        <v>178</v>
      </c>
      <c r="AF72" s="3">
        <v>8</v>
      </c>
      <c r="AG72" s="7">
        <f t="shared" si="73"/>
        <v>0.72727272727272729</v>
      </c>
      <c r="AH72" s="3">
        <v>11</v>
      </c>
      <c r="AI72" s="41">
        <f t="shared" si="151"/>
        <v>111</v>
      </c>
      <c r="AJ72" s="7">
        <f t="shared" si="163"/>
        <v>2.9638727937838778E-3</v>
      </c>
      <c r="AK72" s="44">
        <f t="shared" si="152"/>
        <v>37451</v>
      </c>
      <c r="AL72" s="117">
        <f t="shared" si="153"/>
        <v>0.27889544285068968</v>
      </c>
      <c r="AM72" s="115">
        <f t="shared" si="154"/>
        <v>0.47249806324389043</v>
      </c>
      <c r="AN72" s="7">
        <f t="shared" si="155"/>
        <v>0.87111111111111106</v>
      </c>
      <c r="AO72" s="171">
        <f t="shared" si="156"/>
        <v>0.27376947024999287</v>
      </c>
      <c r="AP72" s="63">
        <f t="shared" si="157"/>
        <v>220106</v>
      </c>
      <c r="AQ72" s="3">
        <f t="shared" si="158"/>
        <v>803983</v>
      </c>
      <c r="AR72" s="116">
        <f t="shared" si="159"/>
        <v>763745</v>
      </c>
      <c r="AS72" s="3">
        <f t="shared" si="160"/>
        <v>14199</v>
      </c>
      <c r="AT72" s="26">
        <f t="shared" si="161"/>
        <v>450</v>
      </c>
    </row>
    <row r="73" spans="1:46" x14ac:dyDescent="0.15">
      <c r="A73" s="146">
        <v>41548</v>
      </c>
      <c r="B73" s="3">
        <v>18236</v>
      </c>
      <c r="C73" s="115">
        <f t="shared" si="66"/>
        <v>0.14866385143397517</v>
      </c>
      <c r="D73" s="3">
        <v>122666</v>
      </c>
      <c r="E73" s="178">
        <v>772</v>
      </c>
      <c r="F73" s="115">
        <f t="shared" si="67"/>
        <v>0.42936596218020023</v>
      </c>
      <c r="G73" s="3">
        <v>1798</v>
      </c>
      <c r="H73" s="178">
        <v>34</v>
      </c>
      <c r="I73" s="115">
        <f t="shared" si="68"/>
        <v>0.77272727272727271</v>
      </c>
      <c r="J73" s="3">
        <v>44</v>
      </c>
      <c r="K73" s="195">
        <f t="shared" si="146"/>
        <v>19042</v>
      </c>
      <c r="L73" s="115">
        <f t="shared" si="162"/>
        <v>0.15293796382561764</v>
      </c>
      <c r="M73" s="23">
        <f t="shared" si="147"/>
        <v>124508</v>
      </c>
      <c r="N73" s="3">
        <v>195201</v>
      </c>
      <c r="O73" s="67">
        <f t="shared" si="74"/>
        <v>0.32330625326078855</v>
      </c>
      <c r="P73" s="174">
        <v>603765</v>
      </c>
      <c r="Q73" s="68">
        <v>5907</v>
      </c>
      <c r="R73" s="67">
        <f t="shared" si="75"/>
        <v>0.48118279569892475</v>
      </c>
      <c r="S73" s="40">
        <v>12276</v>
      </c>
      <c r="T73" s="68">
        <v>350</v>
      </c>
      <c r="U73" s="67">
        <f t="shared" si="76"/>
        <v>0.89058524173027986</v>
      </c>
      <c r="V73" s="40">
        <v>393</v>
      </c>
      <c r="W73" s="63">
        <f t="shared" si="148"/>
        <v>201458</v>
      </c>
      <c r="X73" s="67">
        <f t="shared" si="149"/>
        <v>0.32681195391558543</v>
      </c>
      <c r="Y73" s="26">
        <f t="shared" si="150"/>
        <v>616434</v>
      </c>
      <c r="Z73" s="3">
        <v>52</v>
      </c>
      <c r="AA73" s="115">
        <f t="shared" si="71"/>
        <v>1.3938402980673869E-3</v>
      </c>
      <c r="AB73" s="40">
        <v>37307</v>
      </c>
      <c r="AC73" s="3">
        <v>52</v>
      </c>
      <c r="AD73" s="115">
        <f t="shared" si="72"/>
        <v>0.287292817679558</v>
      </c>
      <c r="AE73" s="40">
        <v>181</v>
      </c>
      <c r="AF73" s="3">
        <v>8</v>
      </c>
      <c r="AG73" s="7">
        <f t="shared" si="73"/>
        <v>0.72727272727272729</v>
      </c>
      <c r="AH73" s="3">
        <v>11</v>
      </c>
      <c r="AI73" s="41">
        <f t="shared" si="151"/>
        <v>112</v>
      </c>
      <c r="AJ73" s="7">
        <f t="shared" si="163"/>
        <v>2.9867463132350197E-3</v>
      </c>
      <c r="AK73" s="44">
        <f t="shared" si="152"/>
        <v>37499</v>
      </c>
      <c r="AL73" s="117">
        <f t="shared" si="153"/>
        <v>0.27953172423003703</v>
      </c>
      <c r="AM73" s="115">
        <f t="shared" si="154"/>
        <v>0.47218519817607857</v>
      </c>
      <c r="AN73" s="7">
        <f t="shared" si="155"/>
        <v>0.875</v>
      </c>
      <c r="AO73" s="171">
        <f t="shared" si="156"/>
        <v>0.27444355428611239</v>
      </c>
      <c r="AP73" s="63">
        <f t="shared" si="157"/>
        <v>220612</v>
      </c>
      <c r="AQ73" s="3">
        <f t="shared" si="158"/>
        <v>803852</v>
      </c>
      <c r="AR73" s="116">
        <f t="shared" si="159"/>
        <v>763738</v>
      </c>
      <c r="AS73" s="3">
        <f t="shared" si="160"/>
        <v>14255</v>
      </c>
      <c r="AT73" s="26">
        <f t="shared" si="161"/>
        <v>448</v>
      </c>
    </row>
    <row r="74" spans="1:46" x14ac:dyDescent="0.15">
      <c r="A74" s="146">
        <v>41518</v>
      </c>
      <c r="B74" s="3">
        <v>18086</v>
      </c>
      <c r="C74" s="115">
        <f t="shared" si="66"/>
        <v>0.1466662341664369</v>
      </c>
      <c r="D74" s="3">
        <v>123314</v>
      </c>
      <c r="E74" s="178">
        <v>771</v>
      </c>
      <c r="F74" s="115">
        <f t="shared" si="67"/>
        <v>0.42432581177765549</v>
      </c>
      <c r="G74" s="3">
        <v>1817</v>
      </c>
      <c r="H74" s="178">
        <v>34</v>
      </c>
      <c r="I74" s="115">
        <f t="shared" si="68"/>
        <v>0.75555555555555554</v>
      </c>
      <c r="J74" s="3">
        <v>45</v>
      </c>
      <c r="K74" s="195">
        <f t="shared" ref="K74:K79" si="164">+H74+E74+B74</f>
        <v>18891</v>
      </c>
      <c r="L74" s="115">
        <f t="shared" si="162"/>
        <v>0.15091551096056752</v>
      </c>
      <c r="M74" s="23">
        <f t="shared" ref="M74:M79" si="165">+J74+G74+D74</f>
        <v>125176</v>
      </c>
      <c r="N74" s="3">
        <v>195426</v>
      </c>
      <c r="O74" s="67">
        <f t="shared" si="74"/>
        <v>0.32391819253164578</v>
      </c>
      <c r="P74" s="174">
        <v>603319</v>
      </c>
      <c r="Q74" s="68">
        <v>5809</v>
      </c>
      <c r="R74" s="67">
        <f t="shared" si="75"/>
        <v>0.47626465524309258</v>
      </c>
      <c r="S74" s="40">
        <v>12197</v>
      </c>
      <c r="T74" s="68">
        <v>351</v>
      </c>
      <c r="U74" s="67">
        <f t="shared" si="76"/>
        <v>0.88636363636363635</v>
      </c>
      <c r="V74" s="40">
        <v>396</v>
      </c>
      <c r="W74" s="63">
        <f t="shared" ref="W74:W79" si="166">+T74+Q74+N74</f>
        <v>201586</v>
      </c>
      <c r="X74" s="67">
        <f t="shared" si="149"/>
        <v>0.32729675667952562</v>
      </c>
      <c r="Y74" s="26">
        <f t="shared" ref="Y74:Y79" si="167">+V74+S74+P74</f>
        <v>615912</v>
      </c>
      <c r="Z74" s="3">
        <v>52</v>
      </c>
      <c r="AA74" s="115">
        <f t="shared" si="71"/>
        <v>1.3936161659475249E-3</v>
      </c>
      <c r="AB74" s="40">
        <v>37313</v>
      </c>
      <c r="AC74" s="3">
        <v>52</v>
      </c>
      <c r="AD74" s="115">
        <f t="shared" si="72"/>
        <v>0.2857142857142857</v>
      </c>
      <c r="AE74" s="40">
        <v>182</v>
      </c>
      <c r="AF74" s="3">
        <v>8</v>
      </c>
      <c r="AG74" s="7">
        <f t="shared" si="73"/>
        <v>0.61538461538461542</v>
      </c>
      <c r="AH74" s="3">
        <v>13</v>
      </c>
      <c r="AI74" s="41">
        <f t="shared" ref="AI74:AI79" si="168">+AF74+AC74+Z74</f>
        <v>112</v>
      </c>
      <c r="AJ74" s="7">
        <f t="shared" si="163"/>
        <v>2.9860296470086384E-3</v>
      </c>
      <c r="AK74" s="44">
        <f t="shared" ref="AK74:AK79" si="169">+AH74+AE74+AB74</f>
        <v>37508</v>
      </c>
      <c r="AL74" s="117">
        <f t="shared" ref="AL74:AL79" si="170">(B74+N74+Z74)/AR74</f>
        <v>0.27955379045115752</v>
      </c>
      <c r="AM74" s="115">
        <f t="shared" ref="AM74:AM79" si="171">(E74+Q74+AC74)/AS74</f>
        <v>0.46717385178923643</v>
      </c>
      <c r="AN74" s="7">
        <f t="shared" ref="AN74:AN79" si="172">(H74+T74+AF74)/AT74</f>
        <v>0.86563876651982374</v>
      </c>
      <c r="AO74" s="171">
        <f t="shared" ref="AO74:AO79" si="173">AP74/AQ74</f>
        <v>0.27444669359845425</v>
      </c>
      <c r="AP74" s="63">
        <f t="shared" ref="AP74:AP79" si="174">AF74+AC74+Z74+T74+Q74+N74+H74+E74+B74</f>
        <v>220589</v>
      </c>
      <c r="AQ74" s="3">
        <f t="shared" ref="AQ74:AQ79" si="175">AH74+AF74+AE74+AC74+Z74+AB74+V74+T74+S74+Q74+P74+J74+H74+G74+E74+D74+B74</f>
        <v>803759</v>
      </c>
      <c r="AR74" s="116">
        <f t="shared" ref="AR74:AR79" si="176">+D74+P74+AB74</f>
        <v>763946</v>
      </c>
      <c r="AS74" s="3">
        <f t="shared" ref="AS74:AS79" si="177">G74+S74+AE74</f>
        <v>14196</v>
      </c>
      <c r="AT74" s="26">
        <f t="shared" ref="AT74:AT79" si="178">J74+V74+AH74</f>
        <v>454</v>
      </c>
    </row>
    <row r="75" spans="1:46" x14ac:dyDescent="0.15">
      <c r="A75" s="146">
        <v>41487</v>
      </c>
      <c r="B75" s="3">
        <v>17903</v>
      </c>
      <c r="C75" s="115">
        <f t="shared" si="66"/>
        <v>0.14490724252921941</v>
      </c>
      <c r="D75" s="3">
        <v>123548</v>
      </c>
      <c r="E75" s="178">
        <v>778</v>
      </c>
      <c r="F75" s="115">
        <f t="shared" si="67"/>
        <v>0.42653508771929827</v>
      </c>
      <c r="G75" s="3">
        <v>1824</v>
      </c>
      <c r="H75" s="178">
        <v>34</v>
      </c>
      <c r="I75" s="115">
        <f t="shared" si="68"/>
        <v>0.75555555555555554</v>
      </c>
      <c r="J75" s="3">
        <v>45</v>
      </c>
      <c r="K75" s="195">
        <f t="shared" si="164"/>
        <v>18715</v>
      </c>
      <c r="L75" s="115">
        <f t="shared" si="162"/>
        <v>0.14922219475828635</v>
      </c>
      <c r="M75" s="23">
        <f t="shared" si="165"/>
        <v>125417</v>
      </c>
      <c r="N75" s="3">
        <v>196039</v>
      </c>
      <c r="O75" s="67">
        <f t="shared" si="74"/>
        <v>0.32495093553990795</v>
      </c>
      <c r="P75" s="174">
        <v>603288</v>
      </c>
      <c r="Q75" s="68">
        <v>5774</v>
      </c>
      <c r="R75" s="67">
        <f t="shared" si="75"/>
        <v>0.47762428654148398</v>
      </c>
      <c r="S75" s="40">
        <v>12089</v>
      </c>
      <c r="T75" s="68">
        <v>351</v>
      </c>
      <c r="U75" s="67">
        <f t="shared" si="76"/>
        <v>0.88860759493670882</v>
      </c>
      <c r="V75" s="40">
        <v>395</v>
      </c>
      <c r="W75" s="63">
        <f t="shared" si="166"/>
        <v>202164</v>
      </c>
      <c r="X75" s="67">
        <f t="shared" ref="X75:X81" si="179">W75/Y75</f>
        <v>0.32830982896266803</v>
      </c>
      <c r="Y75" s="26">
        <f t="shared" si="167"/>
        <v>615772</v>
      </c>
      <c r="Z75" s="3">
        <v>52</v>
      </c>
      <c r="AA75" s="115">
        <f t="shared" si="71"/>
        <v>1.3934294442360254E-3</v>
      </c>
      <c r="AB75" s="40">
        <v>37318</v>
      </c>
      <c r="AC75" s="3">
        <v>46</v>
      </c>
      <c r="AD75" s="115">
        <f t="shared" si="72"/>
        <v>0.26589595375722541</v>
      </c>
      <c r="AE75" s="40">
        <v>173</v>
      </c>
      <c r="AF75" s="3">
        <v>8</v>
      </c>
      <c r="AG75" s="7">
        <f t="shared" si="73"/>
        <v>0.72727272727272729</v>
      </c>
      <c r="AH75" s="3">
        <v>11</v>
      </c>
      <c r="AI75" s="41">
        <f t="shared" si="168"/>
        <v>106</v>
      </c>
      <c r="AJ75" s="7">
        <f t="shared" si="163"/>
        <v>2.8265159191509788E-3</v>
      </c>
      <c r="AK75" s="44">
        <f t="shared" si="169"/>
        <v>37502</v>
      </c>
      <c r="AL75" s="117">
        <f t="shared" si="170"/>
        <v>0.2800404107025547</v>
      </c>
      <c r="AM75" s="115">
        <f t="shared" si="171"/>
        <v>0.46840834871503623</v>
      </c>
      <c r="AN75" s="7">
        <f t="shared" si="172"/>
        <v>0.87139689578713964</v>
      </c>
      <c r="AO75" s="171">
        <f t="shared" si="173"/>
        <v>0.2749811170964005</v>
      </c>
      <c r="AP75" s="63">
        <f t="shared" si="174"/>
        <v>220985</v>
      </c>
      <c r="AQ75" s="3">
        <f t="shared" si="175"/>
        <v>803637</v>
      </c>
      <c r="AR75" s="116">
        <f t="shared" si="176"/>
        <v>764154</v>
      </c>
      <c r="AS75" s="3">
        <f t="shared" si="177"/>
        <v>14086</v>
      </c>
      <c r="AT75" s="26">
        <f t="shared" si="178"/>
        <v>451</v>
      </c>
    </row>
    <row r="76" spans="1:46" x14ac:dyDescent="0.15">
      <c r="A76" s="146">
        <v>41456</v>
      </c>
      <c r="B76" s="3">
        <v>17849</v>
      </c>
      <c r="C76" s="115">
        <f t="shared" si="66"/>
        <v>0.14460827999675929</v>
      </c>
      <c r="D76" s="3">
        <v>123430</v>
      </c>
      <c r="E76" s="178">
        <v>796</v>
      </c>
      <c r="F76" s="115">
        <f t="shared" si="67"/>
        <v>0.43473511742217369</v>
      </c>
      <c r="G76" s="3">
        <v>1831</v>
      </c>
      <c r="H76" s="178">
        <v>34</v>
      </c>
      <c r="I76" s="115">
        <f t="shared" si="68"/>
        <v>0.75555555555555554</v>
      </c>
      <c r="J76" s="3">
        <v>45</v>
      </c>
      <c r="K76" s="195">
        <f t="shared" si="164"/>
        <v>18679</v>
      </c>
      <c r="L76" s="115">
        <f t="shared" si="162"/>
        <v>0.14906708377890923</v>
      </c>
      <c r="M76" s="23">
        <f t="shared" si="165"/>
        <v>125306</v>
      </c>
      <c r="N76" s="3">
        <v>198712</v>
      </c>
      <c r="O76" s="67">
        <f t="shared" si="74"/>
        <v>0.3290887260381733</v>
      </c>
      <c r="P76" s="174">
        <v>603825</v>
      </c>
      <c r="Q76" s="68">
        <v>5822</v>
      </c>
      <c r="R76" s="67">
        <f t="shared" si="75"/>
        <v>0.48151517657761972</v>
      </c>
      <c r="S76" s="40">
        <v>12091</v>
      </c>
      <c r="T76" s="68">
        <v>360</v>
      </c>
      <c r="U76" s="67">
        <f t="shared" si="76"/>
        <v>0.9</v>
      </c>
      <c r="V76" s="40">
        <v>400</v>
      </c>
      <c r="W76" s="63">
        <f t="shared" si="166"/>
        <v>204894</v>
      </c>
      <c r="X76" s="67">
        <f t="shared" si="179"/>
        <v>0.3324495875492442</v>
      </c>
      <c r="Y76" s="26">
        <f t="shared" si="167"/>
        <v>616316</v>
      </c>
      <c r="Z76" s="3">
        <v>53</v>
      </c>
      <c r="AA76" s="115">
        <f t="shared" si="71"/>
        <v>1.4211401297795892E-3</v>
      </c>
      <c r="AB76" s="40">
        <v>37294</v>
      </c>
      <c r="AC76" s="3">
        <v>52</v>
      </c>
      <c r="AD76" s="115">
        <f t="shared" si="72"/>
        <v>0.2810810810810811</v>
      </c>
      <c r="AE76" s="40">
        <v>185</v>
      </c>
      <c r="AF76" s="3">
        <v>9</v>
      </c>
      <c r="AG76" s="7">
        <f t="shared" si="73"/>
        <v>0.75</v>
      </c>
      <c r="AH76" s="3">
        <v>12</v>
      </c>
      <c r="AI76" s="41">
        <f t="shared" si="168"/>
        <v>114</v>
      </c>
      <c r="AJ76" s="7">
        <f t="shared" si="163"/>
        <v>3.0407297751460349E-3</v>
      </c>
      <c r="AK76" s="44">
        <f t="shared" si="169"/>
        <v>37491</v>
      </c>
      <c r="AL76" s="117">
        <f t="shared" si="170"/>
        <v>0.28332258625673434</v>
      </c>
      <c r="AM76" s="115">
        <f t="shared" si="171"/>
        <v>0.4728149145814135</v>
      </c>
      <c r="AN76" s="7">
        <f t="shared" si="172"/>
        <v>0.88183807439824946</v>
      </c>
      <c r="AO76" s="171">
        <f t="shared" si="173"/>
        <v>0.27818721333983343</v>
      </c>
      <c r="AP76" s="63">
        <f t="shared" si="174"/>
        <v>223687</v>
      </c>
      <c r="AQ76" s="3">
        <f t="shared" si="175"/>
        <v>804088</v>
      </c>
      <c r="AR76" s="116">
        <f t="shared" si="176"/>
        <v>764549</v>
      </c>
      <c r="AS76" s="3">
        <f t="shared" si="177"/>
        <v>14107</v>
      </c>
      <c r="AT76" s="26">
        <f t="shared" si="178"/>
        <v>457</v>
      </c>
    </row>
    <row r="77" spans="1:46" x14ac:dyDescent="0.15">
      <c r="A77" s="146">
        <v>41426</v>
      </c>
      <c r="B77" s="3">
        <v>17942</v>
      </c>
      <c r="C77" s="115">
        <f t="shared" si="66"/>
        <v>0.14547253032366866</v>
      </c>
      <c r="D77" s="3">
        <v>123336</v>
      </c>
      <c r="E77" s="178">
        <v>697</v>
      </c>
      <c r="F77" s="115">
        <f t="shared" si="67"/>
        <v>0.40289017341040462</v>
      </c>
      <c r="G77" s="3">
        <v>1730</v>
      </c>
      <c r="H77" s="178">
        <v>34</v>
      </c>
      <c r="I77" s="115">
        <f t="shared" si="68"/>
        <v>0.75555555555555554</v>
      </c>
      <c r="J77" s="3">
        <v>45</v>
      </c>
      <c r="K77" s="195">
        <f t="shared" si="164"/>
        <v>18673</v>
      </c>
      <c r="L77" s="115">
        <f t="shared" si="162"/>
        <v>0.14925146469934697</v>
      </c>
      <c r="M77" s="23">
        <f t="shared" si="165"/>
        <v>125111</v>
      </c>
      <c r="N77" s="3">
        <v>203032</v>
      </c>
      <c r="O77" s="67">
        <f t="shared" si="74"/>
        <v>0.33703963160568262</v>
      </c>
      <c r="P77" s="174">
        <v>602398</v>
      </c>
      <c r="Q77" s="68">
        <v>5774</v>
      </c>
      <c r="R77" s="67">
        <f t="shared" si="75"/>
        <v>0.48124687447907982</v>
      </c>
      <c r="S77" s="40">
        <v>11998</v>
      </c>
      <c r="T77" s="68">
        <v>362</v>
      </c>
      <c r="U77" s="67">
        <f t="shared" si="76"/>
        <v>0.90954773869346739</v>
      </c>
      <c r="V77" s="40">
        <v>398</v>
      </c>
      <c r="W77" s="63">
        <f t="shared" si="166"/>
        <v>209168</v>
      </c>
      <c r="X77" s="67">
        <f t="shared" si="179"/>
        <v>0.34022453049314078</v>
      </c>
      <c r="Y77" s="26">
        <f t="shared" si="167"/>
        <v>614794</v>
      </c>
      <c r="Z77" s="3">
        <v>54</v>
      </c>
      <c r="AA77" s="115">
        <f t="shared" si="71"/>
        <v>1.4500926448078628E-3</v>
      </c>
      <c r="AB77" s="40">
        <v>37239</v>
      </c>
      <c r="AC77" s="3">
        <v>52</v>
      </c>
      <c r="AD77" s="115">
        <f t="shared" si="72"/>
        <v>0.29378531073446329</v>
      </c>
      <c r="AE77" s="40">
        <v>177</v>
      </c>
      <c r="AF77" s="3">
        <v>9</v>
      </c>
      <c r="AG77" s="7">
        <f t="shared" si="73"/>
        <v>0.69230769230769229</v>
      </c>
      <c r="AH77" s="3">
        <v>13</v>
      </c>
      <c r="AI77" s="41">
        <f t="shared" si="168"/>
        <v>115</v>
      </c>
      <c r="AJ77" s="7">
        <f t="shared" ref="AJ77:AJ83" si="180">AI77/AK77</f>
        <v>3.0724839028560742E-3</v>
      </c>
      <c r="AK77" s="44">
        <f t="shared" si="169"/>
        <v>37429</v>
      </c>
      <c r="AL77" s="117">
        <f t="shared" si="170"/>
        <v>0.28969308219294787</v>
      </c>
      <c r="AM77" s="115">
        <f t="shared" si="171"/>
        <v>0.46911183027687881</v>
      </c>
      <c r="AN77" s="7">
        <f t="shared" si="172"/>
        <v>0.88815789473684215</v>
      </c>
      <c r="AO77" s="171">
        <f t="shared" si="173"/>
        <v>0.2841430063645361</v>
      </c>
      <c r="AP77" s="63">
        <f t="shared" si="174"/>
        <v>227956</v>
      </c>
      <c r="AQ77" s="3">
        <f t="shared" si="175"/>
        <v>802258</v>
      </c>
      <c r="AR77" s="116">
        <f t="shared" si="176"/>
        <v>762973</v>
      </c>
      <c r="AS77" s="3">
        <f t="shared" si="177"/>
        <v>13905</v>
      </c>
      <c r="AT77" s="26">
        <f t="shared" si="178"/>
        <v>456</v>
      </c>
    </row>
    <row r="78" spans="1:46" x14ac:dyDescent="0.15">
      <c r="A78" s="146">
        <v>41395</v>
      </c>
      <c r="B78" s="3">
        <v>17835</v>
      </c>
      <c r="C78" s="115">
        <f t="shared" si="66"/>
        <v>0.14502593959895266</v>
      </c>
      <c r="D78" s="3">
        <v>122978</v>
      </c>
      <c r="E78" s="178">
        <v>788</v>
      </c>
      <c r="F78" s="115">
        <f t="shared" si="67"/>
        <v>0.4298963447899618</v>
      </c>
      <c r="G78" s="3">
        <v>1833</v>
      </c>
      <c r="H78" s="178">
        <v>34</v>
      </c>
      <c r="I78" s="115">
        <f t="shared" si="68"/>
        <v>0.75555555555555554</v>
      </c>
      <c r="J78" s="3">
        <v>45</v>
      </c>
      <c r="K78" s="195">
        <f t="shared" si="164"/>
        <v>18657</v>
      </c>
      <c r="L78" s="115">
        <f t="shared" ref="L78:L84" si="181">K78/M78</f>
        <v>0.14942814121868392</v>
      </c>
      <c r="M78" s="23">
        <f t="shared" si="165"/>
        <v>124856</v>
      </c>
      <c r="N78" s="3">
        <v>202542</v>
      </c>
      <c r="O78" s="67">
        <f t="shared" si="74"/>
        <v>0.33622733218680073</v>
      </c>
      <c r="P78" s="174">
        <v>602396</v>
      </c>
      <c r="Q78" s="68">
        <v>5718</v>
      </c>
      <c r="R78" s="67">
        <f t="shared" si="75"/>
        <v>0.47773414654524188</v>
      </c>
      <c r="S78" s="40">
        <v>11969</v>
      </c>
      <c r="T78" s="68">
        <v>363</v>
      </c>
      <c r="U78" s="67">
        <f t="shared" si="76"/>
        <v>0.90749999999999997</v>
      </c>
      <c r="V78" s="40">
        <v>400</v>
      </c>
      <c r="W78" s="63">
        <f t="shared" si="166"/>
        <v>208623</v>
      </c>
      <c r="X78" s="67">
        <f t="shared" si="179"/>
        <v>0.33935406212129837</v>
      </c>
      <c r="Y78" s="26">
        <f t="shared" si="167"/>
        <v>614765</v>
      </c>
      <c r="Z78" s="3">
        <v>53</v>
      </c>
      <c r="AA78" s="115">
        <f t="shared" si="71"/>
        <v>1.4226660224405433E-3</v>
      </c>
      <c r="AB78" s="40">
        <v>37254</v>
      </c>
      <c r="AC78" s="3">
        <v>52</v>
      </c>
      <c r="AD78" s="115">
        <f t="shared" si="72"/>
        <v>0.28415300546448086</v>
      </c>
      <c r="AE78" s="40">
        <v>183</v>
      </c>
      <c r="AF78" s="3">
        <v>10</v>
      </c>
      <c r="AG78" s="7">
        <f t="shared" si="73"/>
        <v>0.7142857142857143</v>
      </c>
      <c r="AH78" s="3">
        <v>14</v>
      </c>
      <c r="AI78" s="41">
        <f t="shared" si="168"/>
        <v>115</v>
      </c>
      <c r="AJ78" s="7">
        <f t="shared" si="180"/>
        <v>3.0706790205869E-3</v>
      </c>
      <c r="AK78" s="44">
        <f t="shared" si="169"/>
        <v>37451</v>
      </c>
      <c r="AL78" s="117">
        <f t="shared" si="170"/>
        <v>0.28904000377641526</v>
      </c>
      <c r="AM78" s="115">
        <f t="shared" si="171"/>
        <v>0.46893099749731854</v>
      </c>
      <c r="AN78" s="7">
        <f t="shared" si="172"/>
        <v>0.88671023965141615</v>
      </c>
      <c r="AO78" s="171">
        <f t="shared" si="173"/>
        <v>0.28356143030832059</v>
      </c>
      <c r="AP78" s="63">
        <f t="shared" si="174"/>
        <v>227395</v>
      </c>
      <c r="AQ78" s="3">
        <f t="shared" si="175"/>
        <v>801925</v>
      </c>
      <c r="AR78" s="116">
        <f t="shared" si="176"/>
        <v>762628</v>
      </c>
      <c r="AS78" s="3">
        <f t="shared" si="177"/>
        <v>13985</v>
      </c>
      <c r="AT78" s="26">
        <f t="shared" si="178"/>
        <v>459</v>
      </c>
    </row>
    <row r="79" spans="1:46" x14ac:dyDescent="0.15">
      <c r="A79" s="146">
        <v>41365</v>
      </c>
      <c r="B79" s="3">
        <v>17445</v>
      </c>
      <c r="C79" s="115">
        <f t="shared" si="66"/>
        <v>0.14284193632909734</v>
      </c>
      <c r="D79" s="3">
        <v>122128</v>
      </c>
      <c r="E79" s="178">
        <v>803</v>
      </c>
      <c r="F79" s="115">
        <f t="shared" si="67"/>
        <v>0.44218061674008813</v>
      </c>
      <c r="G79" s="3">
        <v>1816</v>
      </c>
      <c r="H79" s="178">
        <v>34</v>
      </c>
      <c r="I79" s="115">
        <f t="shared" si="68"/>
        <v>0.75555555555555554</v>
      </c>
      <c r="J79" s="3">
        <v>45</v>
      </c>
      <c r="K79" s="195">
        <f t="shared" si="164"/>
        <v>18282</v>
      </c>
      <c r="L79" s="115">
        <f t="shared" si="181"/>
        <v>0.14744856398551484</v>
      </c>
      <c r="M79" s="23">
        <f t="shared" si="165"/>
        <v>123989</v>
      </c>
      <c r="N79" s="3">
        <v>199996</v>
      </c>
      <c r="O79" s="67">
        <f t="shared" si="74"/>
        <v>0.33174479689347958</v>
      </c>
      <c r="P79" s="174">
        <v>602861</v>
      </c>
      <c r="Q79" s="68">
        <v>5802</v>
      </c>
      <c r="R79" s="67">
        <f t="shared" si="75"/>
        <v>0.4833388870376541</v>
      </c>
      <c r="S79" s="40">
        <v>12004</v>
      </c>
      <c r="T79" s="68">
        <v>364</v>
      </c>
      <c r="U79" s="67">
        <f t="shared" si="76"/>
        <v>0.90322580645161288</v>
      </c>
      <c r="V79" s="40">
        <v>403</v>
      </c>
      <c r="W79" s="63">
        <f t="shared" si="166"/>
        <v>206162</v>
      </c>
      <c r="X79" s="67">
        <f t="shared" si="179"/>
        <v>0.33507674704356477</v>
      </c>
      <c r="Y79" s="26">
        <f t="shared" si="167"/>
        <v>615268</v>
      </c>
      <c r="Z79" s="3">
        <v>53</v>
      </c>
      <c r="AA79" s="115">
        <f t="shared" si="71"/>
        <v>1.4255359208155142E-3</v>
      </c>
      <c r="AB79" s="40">
        <v>37179</v>
      </c>
      <c r="AC79" s="3">
        <v>52</v>
      </c>
      <c r="AD79" s="115">
        <f t="shared" si="72"/>
        <v>0.28415300546448086</v>
      </c>
      <c r="AE79" s="40">
        <v>183</v>
      </c>
      <c r="AF79" s="3">
        <v>10</v>
      </c>
      <c r="AG79" s="7">
        <f t="shared" si="73"/>
        <v>0.7142857142857143</v>
      </c>
      <c r="AH79" s="3">
        <v>14</v>
      </c>
      <c r="AI79" s="41">
        <f t="shared" si="168"/>
        <v>115</v>
      </c>
      <c r="AJ79" s="7">
        <f t="shared" si="180"/>
        <v>3.0768407534246577E-3</v>
      </c>
      <c r="AK79" s="44">
        <f t="shared" si="169"/>
        <v>37376</v>
      </c>
      <c r="AL79" s="117">
        <f t="shared" si="170"/>
        <v>0.2853622823314545</v>
      </c>
      <c r="AM79" s="115">
        <f t="shared" si="171"/>
        <v>0.47539812897236305</v>
      </c>
      <c r="AN79" s="7">
        <f t="shared" si="172"/>
        <v>0.88311688311688308</v>
      </c>
      <c r="AO79" s="171">
        <f t="shared" si="173"/>
        <v>0.28027973180095755</v>
      </c>
      <c r="AP79" s="63">
        <f t="shared" si="174"/>
        <v>224559</v>
      </c>
      <c r="AQ79" s="3">
        <f t="shared" si="175"/>
        <v>801196</v>
      </c>
      <c r="AR79" s="116">
        <f t="shared" si="176"/>
        <v>762168</v>
      </c>
      <c r="AS79" s="3">
        <f t="shared" si="177"/>
        <v>14003</v>
      </c>
      <c r="AT79" s="26">
        <f t="shared" si="178"/>
        <v>462</v>
      </c>
    </row>
    <row r="80" spans="1:46" x14ac:dyDescent="0.15">
      <c r="A80" s="146">
        <v>41334</v>
      </c>
      <c r="B80" s="3">
        <v>17106</v>
      </c>
      <c r="C80" s="115">
        <f t="shared" si="66"/>
        <v>0.14072410474098571</v>
      </c>
      <c r="D80" s="3">
        <v>121557</v>
      </c>
      <c r="E80" s="178">
        <v>821</v>
      </c>
      <c r="F80" s="115">
        <f t="shared" si="67"/>
        <v>0.46175478065241843</v>
      </c>
      <c r="G80" s="3">
        <v>1778</v>
      </c>
      <c r="H80" s="178">
        <v>34</v>
      </c>
      <c r="I80" s="115">
        <f t="shared" si="68"/>
        <v>0.75555555555555554</v>
      </c>
      <c r="J80" s="3">
        <v>45</v>
      </c>
      <c r="K80" s="195">
        <f t="shared" ref="K80:K85" si="182">+H80+E80+B80</f>
        <v>17961</v>
      </c>
      <c r="L80" s="115">
        <f t="shared" si="181"/>
        <v>0.14557464743070189</v>
      </c>
      <c r="M80" s="23">
        <f t="shared" ref="M80:M85" si="183">+J80+G80+D80</f>
        <v>123380</v>
      </c>
      <c r="N80" s="3">
        <v>186230</v>
      </c>
      <c r="O80" s="67">
        <f t="shared" si="74"/>
        <v>0.30877564149329162</v>
      </c>
      <c r="P80" s="174">
        <v>603124</v>
      </c>
      <c r="Q80" s="68">
        <v>5800</v>
      </c>
      <c r="R80" s="67">
        <f t="shared" si="75"/>
        <v>0.48458517837747517</v>
      </c>
      <c r="S80" s="40">
        <v>11969</v>
      </c>
      <c r="T80" s="68">
        <v>364</v>
      </c>
      <c r="U80" s="67">
        <f t="shared" si="76"/>
        <v>0.90547263681592038</v>
      </c>
      <c r="V80" s="40">
        <v>402</v>
      </c>
      <c r="W80" s="63">
        <f t="shared" ref="W80:W85" si="184">+T80+Q80+N80</f>
        <v>192394</v>
      </c>
      <c r="X80" s="67">
        <f t="shared" si="179"/>
        <v>0.31258418021267437</v>
      </c>
      <c r="Y80" s="26">
        <f t="shared" ref="Y80:Y85" si="185">+V80+S80+P80</f>
        <v>615495</v>
      </c>
      <c r="Z80" s="3">
        <v>53</v>
      </c>
      <c r="AA80" s="115">
        <f t="shared" si="71"/>
        <v>1.4257276591165869E-3</v>
      </c>
      <c r="AB80" s="40">
        <v>37174</v>
      </c>
      <c r="AC80" s="3">
        <v>52</v>
      </c>
      <c r="AD80" s="115">
        <f t="shared" si="72"/>
        <v>0.28415300546448086</v>
      </c>
      <c r="AE80" s="40">
        <v>183</v>
      </c>
      <c r="AF80" s="3">
        <v>10</v>
      </c>
      <c r="AG80" s="7">
        <f t="shared" si="73"/>
        <v>0.66666666666666663</v>
      </c>
      <c r="AH80" s="3">
        <v>15</v>
      </c>
      <c r="AI80" s="41">
        <f t="shared" ref="AI80:AI85" si="186">+AF80+AC80+Z80</f>
        <v>115</v>
      </c>
      <c r="AJ80" s="7">
        <f t="shared" si="180"/>
        <v>3.0771700738520817E-3</v>
      </c>
      <c r="AK80" s="44">
        <f t="shared" ref="AK80:AK85" si="187">+AH80+AE80+AB80</f>
        <v>37372</v>
      </c>
      <c r="AL80" s="117">
        <f t="shared" ref="AL80:AL85" si="188">(B80+N80+Z80)/AR80</f>
        <v>0.26696549868413283</v>
      </c>
      <c r="AM80" s="115">
        <f t="shared" ref="AM80:AM85" si="189">(E80+Q80+AC80)/AS80</f>
        <v>0.47903804737975592</v>
      </c>
      <c r="AN80" s="7">
        <f t="shared" ref="AN80:AN85" si="190">(H80+T80+AF80)/AT80</f>
        <v>0.88311688311688308</v>
      </c>
      <c r="AO80" s="171">
        <f t="shared" ref="AO80:AO85" si="191">AP80/AQ80</f>
        <v>0.26292744291912301</v>
      </c>
      <c r="AP80" s="63">
        <f t="shared" ref="AP80:AP85" si="192">AF80+AC80+Z80+T80+Q80+N80+H80+E80+B80</f>
        <v>210470</v>
      </c>
      <c r="AQ80" s="3">
        <f t="shared" ref="AQ80:AQ85" si="193">AH80+AF80+AE80+AC80+Z80+AB80+V80+T80+S80+Q80+P80+J80+H80+G80+E80+D80+B80</f>
        <v>800487</v>
      </c>
      <c r="AR80" s="116">
        <f t="shared" ref="AR80:AR85" si="194">+D80+P80+AB80</f>
        <v>761855</v>
      </c>
      <c r="AS80" s="3">
        <f t="shared" ref="AS80:AS85" si="195">G80+S80+AE80</f>
        <v>13930</v>
      </c>
      <c r="AT80" s="26">
        <f t="shared" ref="AT80:AT85" si="196">J80+V80+AH80</f>
        <v>462</v>
      </c>
    </row>
    <row r="81" spans="1:46" x14ac:dyDescent="0.15">
      <c r="A81" s="146">
        <v>41306</v>
      </c>
      <c r="B81" s="3">
        <v>15447</v>
      </c>
      <c r="C81" s="115">
        <f t="shared" si="66"/>
        <v>0.12715882711272822</v>
      </c>
      <c r="D81" s="3">
        <v>121478</v>
      </c>
      <c r="E81" s="178">
        <v>825</v>
      </c>
      <c r="F81" s="115">
        <f t="shared" si="67"/>
        <v>0.46875</v>
      </c>
      <c r="G81" s="3">
        <v>1760</v>
      </c>
      <c r="H81" s="178">
        <v>34</v>
      </c>
      <c r="I81" s="115">
        <f t="shared" si="68"/>
        <v>0.75555555555555554</v>
      </c>
      <c r="J81" s="3">
        <v>45</v>
      </c>
      <c r="K81" s="195">
        <f t="shared" si="182"/>
        <v>16306</v>
      </c>
      <c r="L81" s="115">
        <f t="shared" si="181"/>
        <v>0.13226478914367756</v>
      </c>
      <c r="M81" s="23">
        <f t="shared" si="183"/>
        <v>123283</v>
      </c>
      <c r="N81" s="3">
        <v>181371</v>
      </c>
      <c r="O81" s="67">
        <f t="shared" si="74"/>
        <v>0.30077810171043073</v>
      </c>
      <c r="P81" s="174">
        <v>603006</v>
      </c>
      <c r="Q81" s="68">
        <v>5836</v>
      </c>
      <c r="R81" s="67">
        <f t="shared" si="75"/>
        <v>0.48625229128478586</v>
      </c>
      <c r="S81" s="40">
        <v>12002</v>
      </c>
      <c r="T81" s="68">
        <v>363</v>
      </c>
      <c r="U81" s="67">
        <f t="shared" si="76"/>
        <v>0.89851485148514854</v>
      </c>
      <c r="V81" s="40">
        <v>404</v>
      </c>
      <c r="W81" s="63">
        <f t="shared" si="184"/>
        <v>187570</v>
      </c>
      <c r="X81" s="67">
        <f t="shared" si="179"/>
        <v>0.30478768694793079</v>
      </c>
      <c r="Y81" s="26">
        <f t="shared" si="185"/>
        <v>615412</v>
      </c>
      <c r="Z81" s="3">
        <v>53</v>
      </c>
      <c r="AA81" s="115">
        <f t="shared" si="71"/>
        <v>1.4252675738181035E-3</v>
      </c>
      <c r="AB81" s="40">
        <v>37186</v>
      </c>
      <c r="AC81" s="3">
        <v>52</v>
      </c>
      <c r="AD81" s="115">
        <f t="shared" si="72"/>
        <v>0.28415300546448086</v>
      </c>
      <c r="AE81" s="40">
        <v>183</v>
      </c>
      <c r="AF81" s="3">
        <v>10</v>
      </c>
      <c r="AG81" s="7">
        <f t="shared" si="73"/>
        <v>0.7142857142857143</v>
      </c>
      <c r="AH81" s="3">
        <v>14</v>
      </c>
      <c r="AI81" s="41">
        <f t="shared" si="186"/>
        <v>115</v>
      </c>
      <c r="AJ81" s="7">
        <f t="shared" si="180"/>
        <v>3.0762646122569084E-3</v>
      </c>
      <c r="AK81" s="44">
        <f t="shared" si="187"/>
        <v>37383</v>
      </c>
      <c r="AL81" s="117">
        <f t="shared" si="188"/>
        <v>0.25847282944057137</v>
      </c>
      <c r="AM81" s="115">
        <f t="shared" si="189"/>
        <v>0.48139117963427752</v>
      </c>
      <c r="AN81" s="7">
        <f t="shared" si="190"/>
        <v>0.87904967602591788</v>
      </c>
      <c r="AO81" s="171">
        <f t="shared" si="191"/>
        <v>0.25540442069468061</v>
      </c>
      <c r="AP81" s="63">
        <f t="shared" si="192"/>
        <v>203991</v>
      </c>
      <c r="AQ81" s="3">
        <f t="shared" si="193"/>
        <v>798698</v>
      </c>
      <c r="AR81" s="116">
        <f t="shared" si="194"/>
        <v>761670</v>
      </c>
      <c r="AS81" s="3">
        <f t="shared" si="195"/>
        <v>13945</v>
      </c>
      <c r="AT81" s="26">
        <f t="shared" si="196"/>
        <v>463</v>
      </c>
    </row>
    <row r="82" spans="1:46" x14ac:dyDescent="0.15">
      <c r="A82" s="146">
        <v>41275</v>
      </c>
      <c r="B82" s="3">
        <v>14429</v>
      </c>
      <c r="C82" s="115">
        <f t="shared" si="66"/>
        <v>0.11874938275669092</v>
      </c>
      <c r="D82" s="3">
        <v>121508</v>
      </c>
      <c r="E82" s="178">
        <v>837</v>
      </c>
      <c r="F82" s="115">
        <f t="shared" si="67"/>
        <v>0.48048220436280137</v>
      </c>
      <c r="G82" s="3">
        <v>1742</v>
      </c>
      <c r="H82" s="178">
        <v>34</v>
      </c>
      <c r="I82" s="115">
        <f t="shared" si="68"/>
        <v>0.75555555555555554</v>
      </c>
      <c r="J82" s="3">
        <v>45</v>
      </c>
      <c r="K82" s="195">
        <f t="shared" si="182"/>
        <v>15300</v>
      </c>
      <c r="L82" s="115">
        <f t="shared" si="181"/>
        <v>0.12409262338294334</v>
      </c>
      <c r="M82" s="23">
        <f t="shared" si="183"/>
        <v>123295</v>
      </c>
      <c r="N82" s="3">
        <v>181750</v>
      </c>
      <c r="O82" s="67">
        <f t="shared" si="74"/>
        <v>0.30141411729196621</v>
      </c>
      <c r="P82" s="174">
        <v>602991</v>
      </c>
      <c r="Q82" s="68">
        <v>5868</v>
      </c>
      <c r="R82" s="67">
        <f t="shared" si="75"/>
        <v>0.48564098319953652</v>
      </c>
      <c r="S82" s="40">
        <v>12083</v>
      </c>
      <c r="T82" s="68">
        <v>358</v>
      </c>
      <c r="U82" s="67">
        <f t="shared" si="76"/>
        <v>0.89949748743718594</v>
      </c>
      <c r="V82" s="40">
        <v>398</v>
      </c>
      <c r="W82" s="63">
        <f t="shared" si="184"/>
        <v>187976</v>
      </c>
      <c r="X82" s="67">
        <f t="shared" ref="X82:X88" si="197">W82/Y82</f>
        <v>0.30541763069644112</v>
      </c>
      <c r="Y82" s="26">
        <f t="shared" si="185"/>
        <v>615472</v>
      </c>
      <c r="Z82" s="3">
        <v>49</v>
      </c>
      <c r="AA82" s="115">
        <f t="shared" si="71"/>
        <v>1.3164965072541644E-3</v>
      </c>
      <c r="AB82" s="40">
        <v>37220</v>
      </c>
      <c r="AC82" s="3">
        <v>51</v>
      </c>
      <c r="AD82" s="115">
        <f t="shared" si="72"/>
        <v>0.27868852459016391</v>
      </c>
      <c r="AE82" s="40">
        <v>183</v>
      </c>
      <c r="AF82" s="3">
        <v>10</v>
      </c>
      <c r="AG82" s="7">
        <f t="shared" si="73"/>
        <v>0.7142857142857143</v>
      </c>
      <c r="AH82" s="3">
        <v>14</v>
      </c>
      <c r="AI82" s="41">
        <f t="shared" si="186"/>
        <v>110</v>
      </c>
      <c r="AJ82" s="7">
        <f t="shared" si="180"/>
        <v>2.9398401795975092E-3</v>
      </c>
      <c r="AK82" s="44">
        <f t="shared" si="187"/>
        <v>37417</v>
      </c>
      <c r="AL82" s="117">
        <f t="shared" si="188"/>
        <v>0.25761205904014473</v>
      </c>
      <c r="AM82" s="115">
        <f t="shared" si="189"/>
        <v>0.48229583095374073</v>
      </c>
      <c r="AN82" s="7">
        <f t="shared" si="190"/>
        <v>0.87964989059080967</v>
      </c>
      <c r="AO82" s="171">
        <f t="shared" si="191"/>
        <v>0.25492717655611541</v>
      </c>
      <c r="AP82" s="63">
        <f t="shared" si="192"/>
        <v>203386</v>
      </c>
      <c r="AQ82" s="3">
        <f t="shared" si="193"/>
        <v>797820</v>
      </c>
      <c r="AR82" s="116">
        <f t="shared" si="194"/>
        <v>761719</v>
      </c>
      <c r="AS82" s="3">
        <f t="shared" si="195"/>
        <v>14008</v>
      </c>
      <c r="AT82" s="26">
        <f t="shared" si="196"/>
        <v>457</v>
      </c>
    </row>
    <row r="83" spans="1:46" x14ac:dyDescent="0.15">
      <c r="A83" s="146">
        <v>41244</v>
      </c>
      <c r="B83" s="3">
        <v>13303</v>
      </c>
      <c r="C83" s="115">
        <f t="shared" si="66"/>
        <v>0.10938258002450275</v>
      </c>
      <c r="D83" s="3">
        <v>121619</v>
      </c>
      <c r="E83" s="178">
        <v>844</v>
      </c>
      <c r="F83" s="115">
        <f t="shared" si="67"/>
        <v>0.48673587081891578</v>
      </c>
      <c r="G83" s="3">
        <v>1734</v>
      </c>
      <c r="H83" s="178">
        <v>34</v>
      </c>
      <c r="I83" s="115">
        <f t="shared" si="68"/>
        <v>0.75555555555555554</v>
      </c>
      <c r="J83" s="3">
        <v>45</v>
      </c>
      <c r="K83" s="195">
        <f t="shared" si="182"/>
        <v>14181</v>
      </c>
      <c r="L83" s="115">
        <f t="shared" si="181"/>
        <v>0.11492082529700644</v>
      </c>
      <c r="M83" s="23">
        <f t="shared" si="183"/>
        <v>123398</v>
      </c>
      <c r="N83" s="3">
        <v>176851</v>
      </c>
      <c r="O83" s="67">
        <f t="shared" si="74"/>
        <v>0.29349063523726387</v>
      </c>
      <c r="P83" s="174">
        <v>602578</v>
      </c>
      <c r="Q83" s="68">
        <v>5924</v>
      </c>
      <c r="R83" s="67">
        <f t="shared" si="75"/>
        <v>0.49149589313863767</v>
      </c>
      <c r="S83" s="40">
        <v>12053</v>
      </c>
      <c r="T83" s="68">
        <v>359</v>
      </c>
      <c r="U83" s="67">
        <f t="shared" si="76"/>
        <v>0.89974937343358397</v>
      </c>
      <c r="V83" s="40">
        <v>399</v>
      </c>
      <c r="W83" s="63">
        <f t="shared" si="184"/>
        <v>183134</v>
      </c>
      <c r="X83" s="67">
        <f t="shared" si="197"/>
        <v>0.2977643366990228</v>
      </c>
      <c r="Y83" s="26">
        <f t="shared" si="185"/>
        <v>615030</v>
      </c>
      <c r="Z83" s="3">
        <v>36</v>
      </c>
      <c r="AA83" s="115">
        <f t="shared" si="71"/>
        <v>9.6626137370158633E-4</v>
      </c>
      <c r="AB83" s="40">
        <v>37257</v>
      </c>
      <c r="AC83" s="3">
        <v>50</v>
      </c>
      <c r="AD83" s="115">
        <f t="shared" si="72"/>
        <v>0.27472527472527475</v>
      </c>
      <c r="AE83" s="40">
        <v>182</v>
      </c>
      <c r="AF83" s="3">
        <v>10</v>
      </c>
      <c r="AG83" s="7">
        <f t="shared" si="73"/>
        <v>0.7142857142857143</v>
      </c>
      <c r="AH83" s="3">
        <v>14</v>
      </c>
      <c r="AI83" s="41">
        <f t="shared" si="186"/>
        <v>96</v>
      </c>
      <c r="AJ83" s="7">
        <f t="shared" si="180"/>
        <v>2.5632125597415427E-3</v>
      </c>
      <c r="AK83" s="44">
        <f t="shared" si="187"/>
        <v>37453</v>
      </c>
      <c r="AL83" s="117">
        <f t="shared" si="188"/>
        <v>0.24977214644614121</v>
      </c>
      <c r="AM83" s="115">
        <f t="shared" si="189"/>
        <v>0.48808075023265801</v>
      </c>
      <c r="AN83" s="7">
        <f t="shared" si="190"/>
        <v>0.87991266375545851</v>
      </c>
      <c r="AO83" s="171">
        <f t="shared" si="191"/>
        <v>0.24786644585097956</v>
      </c>
      <c r="AP83" s="63">
        <f t="shared" si="192"/>
        <v>197411</v>
      </c>
      <c r="AQ83" s="3">
        <f t="shared" si="193"/>
        <v>796441</v>
      </c>
      <c r="AR83" s="116">
        <f t="shared" si="194"/>
        <v>761454</v>
      </c>
      <c r="AS83" s="3">
        <f t="shared" si="195"/>
        <v>13969</v>
      </c>
      <c r="AT83" s="26">
        <f t="shared" si="196"/>
        <v>458</v>
      </c>
    </row>
    <row r="84" spans="1:46" x14ac:dyDescent="0.15">
      <c r="A84" s="146">
        <v>41214</v>
      </c>
      <c r="B84" s="3">
        <v>11422</v>
      </c>
      <c r="C84" s="115">
        <f t="shared" si="66"/>
        <v>9.3825213369805399E-2</v>
      </c>
      <c r="D84" s="3">
        <v>121737</v>
      </c>
      <c r="E84" s="178">
        <v>856</v>
      </c>
      <c r="F84" s="115">
        <f t="shared" si="67"/>
        <v>0.48498583569405102</v>
      </c>
      <c r="G84" s="3">
        <v>1765</v>
      </c>
      <c r="H84" s="178">
        <v>33</v>
      </c>
      <c r="I84" s="115">
        <f t="shared" si="68"/>
        <v>0.73333333333333328</v>
      </c>
      <c r="J84" s="3">
        <v>45</v>
      </c>
      <c r="K84" s="195">
        <f t="shared" si="182"/>
        <v>12311</v>
      </c>
      <c r="L84" s="115">
        <f t="shared" si="181"/>
        <v>9.9646288457024446E-2</v>
      </c>
      <c r="M84" s="23">
        <f t="shared" si="183"/>
        <v>123547</v>
      </c>
      <c r="N84" s="3">
        <v>167837</v>
      </c>
      <c r="O84" s="67">
        <f t="shared" si="74"/>
        <v>0.2788096555184002</v>
      </c>
      <c r="P84" s="174">
        <v>601977</v>
      </c>
      <c r="Q84" s="68">
        <v>6079</v>
      </c>
      <c r="R84" s="67">
        <f t="shared" si="75"/>
        <v>0.48854777786707387</v>
      </c>
      <c r="S84" s="40">
        <v>12443</v>
      </c>
      <c r="T84" s="68">
        <v>362</v>
      </c>
      <c r="U84" s="67">
        <f t="shared" si="76"/>
        <v>0.90726817042606511</v>
      </c>
      <c r="V84" s="40">
        <v>399</v>
      </c>
      <c r="W84" s="63">
        <f t="shared" si="184"/>
        <v>174278</v>
      </c>
      <c r="X84" s="67">
        <f t="shared" si="197"/>
        <v>0.28346228727479145</v>
      </c>
      <c r="Y84" s="26">
        <f t="shared" si="185"/>
        <v>614819</v>
      </c>
      <c r="Z84" s="3">
        <v>30</v>
      </c>
      <c r="AA84" s="115">
        <f t="shared" si="71"/>
        <v>8.053691275167785E-4</v>
      </c>
      <c r="AB84" s="40">
        <v>37250</v>
      </c>
      <c r="AC84" s="3">
        <v>39</v>
      </c>
      <c r="AD84" s="115">
        <f t="shared" si="72"/>
        <v>0.25657894736842107</v>
      </c>
      <c r="AE84" s="40">
        <v>152</v>
      </c>
      <c r="AF84" s="3">
        <v>11</v>
      </c>
      <c r="AG84" s="7">
        <f t="shared" si="73"/>
        <v>0.73333333333333328</v>
      </c>
      <c r="AH84" s="3">
        <v>15</v>
      </c>
      <c r="AI84" s="41">
        <f t="shared" si="186"/>
        <v>80</v>
      </c>
      <c r="AJ84" s="7">
        <f t="shared" ref="AJ84:AJ90" si="198">AI84/AK84</f>
        <v>2.138065585161825E-3</v>
      </c>
      <c r="AK84" s="44">
        <f t="shared" si="187"/>
        <v>37417</v>
      </c>
      <c r="AL84" s="117">
        <f t="shared" si="188"/>
        <v>0.23560772914356001</v>
      </c>
      <c r="AM84" s="115">
        <f t="shared" si="189"/>
        <v>0.48565459610027856</v>
      </c>
      <c r="AN84" s="7">
        <f t="shared" si="190"/>
        <v>0.88453159041394336</v>
      </c>
      <c r="AO84" s="171">
        <f t="shared" si="191"/>
        <v>0.23491753868225493</v>
      </c>
      <c r="AP84" s="63">
        <f t="shared" si="192"/>
        <v>186669</v>
      </c>
      <c r="AQ84" s="3">
        <f t="shared" si="193"/>
        <v>794615</v>
      </c>
      <c r="AR84" s="116">
        <f t="shared" si="194"/>
        <v>760964</v>
      </c>
      <c r="AS84" s="3">
        <f t="shared" si="195"/>
        <v>14360</v>
      </c>
      <c r="AT84" s="26">
        <f t="shared" si="196"/>
        <v>459</v>
      </c>
    </row>
    <row r="85" spans="1:46" x14ac:dyDescent="0.15">
      <c r="A85" s="146">
        <v>41183</v>
      </c>
      <c r="B85" s="3">
        <v>9479</v>
      </c>
      <c r="C85" s="115">
        <f t="shared" si="66"/>
        <v>7.7492826252237967E-2</v>
      </c>
      <c r="D85" s="3">
        <v>122321</v>
      </c>
      <c r="E85" s="178">
        <v>853</v>
      </c>
      <c r="F85" s="115">
        <f t="shared" si="67"/>
        <v>0.4746800222593211</v>
      </c>
      <c r="G85" s="3">
        <v>1797</v>
      </c>
      <c r="H85" s="178">
        <v>33</v>
      </c>
      <c r="I85" s="115">
        <f t="shared" si="68"/>
        <v>0.73333333333333328</v>
      </c>
      <c r="J85" s="3">
        <v>45</v>
      </c>
      <c r="K85" s="195">
        <f t="shared" si="182"/>
        <v>10365</v>
      </c>
      <c r="L85" s="115">
        <f t="shared" ref="L85:L91" si="199">K85/M85</f>
        <v>8.3478975218060136E-2</v>
      </c>
      <c r="M85" s="23">
        <f t="shared" si="183"/>
        <v>124163</v>
      </c>
      <c r="N85" s="3">
        <v>173237</v>
      </c>
      <c r="O85" s="67">
        <f t="shared" si="74"/>
        <v>0.28794799426886469</v>
      </c>
      <c r="P85" s="174">
        <v>601626</v>
      </c>
      <c r="Q85" s="68">
        <v>5860</v>
      </c>
      <c r="R85" s="67">
        <f t="shared" si="75"/>
        <v>0.48622635247261864</v>
      </c>
      <c r="S85" s="40">
        <v>12052</v>
      </c>
      <c r="T85" s="68">
        <v>364</v>
      </c>
      <c r="U85" s="67">
        <f t="shared" si="76"/>
        <v>0.90322580645161288</v>
      </c>
      <c r="V85" s="40">
        <v>403</v>
      </c>
      <c r="W85" s="63">
        <f t="shared" si="184"/>
        <v>179461</v>
      </c>
      <c r="X85" s="67">
        <f t="shared" si="197"/>
        <v>0.29224320570087658</v>
      </c>
      <c r="Y85" s="26">
        <f t="shared" si="185"/>
        <v>614081</v>
      </c>
      <c r="Z85" s="3">
        <v>31</v>
      </c>
      <c r="AA85" s="115">
        <f t="shared" si="71"/>
        <v>8.3005328406565455E-4</v>
      </c>
      <c r="AB85" s="40">
        <v>37347</v>
      </c>
      <c r="AC85" s="3">
        <v>50</v>
      </c>
      <c r="AD85" s="115">
        <f t="shared" si="72"/>
        <v>0.27472527472527475</v>
      </c>
      <c r="AE85" s="40">
        <v>182</v>
      </c>
      <c r="AF85" s="3">
        <v>11</v>
      </c>
      <c r="AG85" s="7">
        <f t="shared" si="73"/>
        <v>0.7857142857142857</v>
      </c>
      <c r="AH85" s="3">
        <v>14</v>
      </c>
      <c r="AI85" s="41">
        <f t="shared" si="186"/>
        <v>92</v>
      </c>
      <c r="AJ85" s="7">
        <f t="shared" si="198"/>
        <v>2.4505233998348562E-3</v>
      </c>
      <c r="AK85" s="44">
        <f t="shared" si="187"/>
        <v>37543</v>
      </c>
      <c r="AL85" s="117">
        <f t="shared" si="188"/>
        <v>0.24004786587047841</v>
      </c>
      <c r="AM85" s="115">
        <f t="shared" si="189"/>
        <v>0.4820041337039413</v>
      </c>
      <c r="AN85" s="7">
        <f t="shared" si="190"/>
        <v>0.88311688311688308</v>
      </c>
      <c r="AO85" s="171">
        <f t="shared" si="191"/>
        <v>0.23965384091218825</v>
      </c>
      <c r="AP85" s="63">
        <f t="shared" si="192"/>
        <v>189918</v>
      </c>
      <c r="AQ85" s="3">
        <f t="shared" si="193"/>
        <v>792468</v>
      </c>
      <c r="AR85" s="116">
        <f t="shared" si="194"/>
        <v>761294</v>
      </c>
      <c r="AS85" s="3">
        <f t="shared" si="195"/>
        <v>14031</v>
      </c>
      <c r="AT85" s="26">
        <f t="shared" si="196"/>
        <v>462</v>
      </c>
    </row>
    <row r="86" spans="1:46" x14ac:dyDescent="0.15">
      <c r="A86" s="146">
        <v>41153</v>
      </c>
      <c r="B86" s="3">
        <v>8730</v>
      </c>
      <c r="C86" s="115">
        <f t="shared" si="66"/>
        <v>7.0912192348306397E-2</v>
      </c>
      <c r="D86" s="3">
        <v>123110</v>
      </c>
      <c r="E86" s="178">
        <v>854</v>
      </c>
      <c r="F86" s="115">
        <f t="shared" si="67"/>
        <v>0.47104247104247104</v>
      </c>
      <c r="G86" s="3">
        <v>1813</v>
      </c>
      <c r="H86" s="178">
        <v>33</v>
      </c>
      <c r="I86" s="115">
        <f t="shared" si="68"/>
        <v>0.75</v>
      </c>
      <c r="J86" s="3">
        <v>44</v>
      </c>
      <c r="K86" s="195">
        <f t="shared" ref="K86:K91" si="200">+H86+E86+B86</f>
        <v>9617</v>
      </c>
      <c r="L86" s="115">
        <f t="shared" si="199"/>
        <v>7.6956316467547428E-2</v>
      </c>
      <c r="M86" s="23">
        <f t="shared" ref="M86:M91" si="201">+J86+G86+D86</f>
        <v>124967</v>
      </c>
      <c r="N86" s="3">
        <v>163762</v>
      </c>
      <c r="O86" s="67">
        <f t="shared" si="74"/>
        <v>0.27228590335764191</v>
      </c>
      <c r="P86" s="174">
        <v>601434</v>
      </c>
      <c r="Q86" s="68">
        <v>5878</v>
      </c>
      <c r="R86" s="67">
        <f t="shared" si="75"/>
        <v>0.48530383091149276</v>
      </c>
      <c r="S86" s="40">
        <v>12112</v>
      </c>
      <c r="T86" s="68">
        <v>368</v>
      </c>
      <c r="U86" s="67">
        <f t="shared" si="76"/>
        <v>0.90417690417690422</v>
      </c>
      <c r="V86" s="40">
        <v>407</v>
      </c>
      <c r="W86" s="63">
        <f t="shared" ref="W86:W91" si="202">+T86+Q86+N86</f>
        <v>170008</v>
      </c>
      <c r="X86" s="67">
        <f t="shared" si="197"/>
        <v>0.27690718996405261</v>
      </c>
      <c r="Y86" s="26">
        <f t="shared" ref="Y86:Y91" si="203">+V86+S86+P86</f>
        <v>613953</v>
      </c>
      <c r="Z86" s="3">
        <v>31</v>
      </c>
      <c r="AA86" s="115">
        <f t="shared" si="71"/>
        <v>8.3009773731423215E-4</v>
      </c>
      <c r="AB86" s="40">
        <v>37345</v>
      </c>
      <c r="AC86" s="3">
        <v>50</v>
      </c>
      <c r="AD86" s="115">
        <f t="shared" si="72"/>
        <v>0.27322404371584702</v>
      </c>
      <c r="AE86" s="40">
        <v>183</v>
      </c>
      <c r="AF86" s="3">
        <v>11</v>
      </c>
      <c r="AG86" s="7">
        <f t="shared" si="73"/>
        <v>0.7857142857142857</v>
      </c>
      <c r="AH86" s="3">
        <v>14</v>
      </c>
      <c r="AI86" s="41">
        <f t="shared" ref="AI86:AI91" si="204">+AF86+AC86+Z86</f>
        <v>92</v>
      </c>
      <c r="AJ86" s="7">
        <f t="shared" si="198"/>
        <v>2.4505886740184327E-3</v>
      </c>
      <c r="AK86" s="44">
        <f t="shared" ref="AK86:AK91" si="205">+AH86+AE86+AB86</f>
        <v>37542</v>
      </c>
      <c r="AL86" s="117">
        <f t="shared" ref="AL86:AL91" si="206">(B86+N86+Z86)/AR86</f>
        <v>0.2264411220007114</v>
      </c>
      <c r="AM86" s="115">
        <f t="shared" ref="AM86:AM91" si="207">(E86+Q86+AC86)/AS86</f>
        <v>0.48072015877516305</v>
      </c>
      <c r="AN86" s="7">
        <f t="shared" ref="AN86:AN91" si="208">(H86+T86+AF86)/AT86</f>
        <v>0.88602150537634405</v>
      </c>
      <c r="AO86" s="171">
        <f t="shared" ref="AO86:AO91" si="209">AP86/AQ86</f>
        <v>0.22679599251404248</v>
      </c>
      <c r="AP86" s="63">
        <f t="shared" ref="AP86:AP91" si="210">AF86+AC86+Z86+T86+Q86+N86+H86+E86+B86</f>
        <v>179717</v>
      </c>
      <c r="AQ86" s="3">
        <f t="shared" ref="AQ86:AQ91" si="211">AH86+AF86+AE86+AC86+Z86+AB86+V86+T86+S86+Q86+P86+J86+H86+G86+E86+D86+B86</f>
        <v>792417</v>
      </c>
      <c r="AR86" s="116">
        <f t="shared" ref="AR86:AR91" si="212">+D86+P86+AB86</f>
        <v>761889</v>
      </c>
      <c r="AS86" s="3">
        <f t="shared" ref="AS86:AS91" si="213">G86+S86+AE86</f>
        <v>14108</v>
      </c>
      <c r="AT86" s="26">
        <f t="shared" ref="AT86:AT91" si="214">J86+V86+AH86</f>
        <v>465</v>
      </c>
    </row>
    <row r="87" spans="1:46" x14ac:dyDescent="0.15">
      <c r="A87" s="146">
        <v>41122</v>
      </c>
      <c r="B87" s="3">
        <v>8300</v>
      </c>
      <c r="C87" s="115">
        <f t="shared" si="66"/>
        <v>6.7364661959256555E-2</v>
      </c>
      <c r="D87" s="3">
        <v>123210</v>
      </c>
      <c r="E87" s="178">
        <v>855</v>
      </c>
      <c r="F87" s="115">
        <f t="shared" si="67"/>
        <v>0.46900713110257819</v>
      </c>
      <c r="G87" s="3">
        <v>1823</v>
      </c>
      <c r="H87" s="178">
        <v>33</v>
      </c>
      <c r="I87" s="115">
        <f t="shared" si="68"/>
        <v>0.75</v>
      </c>
      <c r="J87" s="3">
        <v>44</v>
      </c>
      <c r="K87" s="195">
        <f t="shared" si="200"/>
        <v>9188</v>
      </c>
      <c r="L87" s="115">
        <f t="shared" si="199"/>
        <v>7.3458749410363219E-2</v>
      </c>
      <c r="M87" s="23">
        <f t="shared" si="201"/>
        <v>125077</v>
      </c>
      <c r="N87" s="4">
        <v>156427</v>
      </c>
      <c r="O87" s="67">
        <f t="shared" si="74"/>
        <v>0.26030862215003769</v>
      </c>
      <c r="P87" s="181">
        <v>600929</v>
      </c>
      <c r="Q87" s="68">
        <v>5840</v>
      </c>
      <c r="R87" s="67">
        <f t="shared" si="75"/>
        <v>0.48513042033560394</v>
      </c>
      <c r="S87" s="40">
        <v>12038</v>
      </c>
      <c r="T87" s="68">
        <v>364</v>
      </c>
      <c r="U87" s="67">
        <f t="shared" si="76"/>
        <v>0.88997555012224938</v>
      </c>
      <c r="V87" s="40">
        <v>409</v>
      </c>
      <c r="W87" s="63">
        <f t="shared" si="202"/>
        <v>162631</v>
      </c>
      <c r="X87" s="67">
        <f t="shared" si="197"/>
        <v>0.26514079455342238</v>
      </c>
      <c r="Y87" s="26">
        <f t="shared" si="203"/>
        <v>613376</v>
      </c>
      <c r="Z87" s="3">
        <v>32</v>
      </c>
      <c r="AA87" s="115">
        <f t="shared" si="71"/>
        <v>8.5678331414495708E-4</v>
      </c>
      <c r="AB87" s="40">
        <v>37349</v>
      </c>
      <c r="AC87" s="3">
        <v>50</v>
      </c>
      <c r="AD87" s="115">
        <f t="shared" si="72"/>
        <v>0.27322404371584702</v>
      </c>
      <c r="AE87" s="40">
        <v>183</v>
      </c>
      <c r="AF87" s="3">
        <v>11</v>
      </c>
      <c r="AG87" s="7">
        <f t="shared" si="73"/>
        <v>0.7857142857142857</v>
      </c>
      <c r="AH87" s="3">
        <v>14</v>
      </c>
      <c r="AI87" s="41">
        <f t="shared" si="204"/>
        <v>93</v>
      </c>
      <c r="AJ87" s="7">
        <f t="shared" si="198"/>
        <v>2.4769615937782984E-3</v>
      </c>
      <c r="AK87" s="44">
        <f t="shared" si="205"/>
        <v>37546</v>
      </c>
      <c r="AL87" s="117">
        <f t="shared" si="206"/>
        <v>0.21636453890277982</v>
      </c>
      <c r="AM87" s="115">
        <f t="shared" si="207"/>
        <v>0.48027627456565081</v>
      </c>
      <c r="AN87" s="7">
        <f t="shared" si="208"/>
        <v>0.87366167023554608</v>
      </c>
      <c r="AO87" s="171">
        <f t="shared" si="209"/>
        <v>0.21720211653046681</v>
      </c>
      <c r="AP87" s="63">
        <f t="shared" si="210"/>
        <v>171912</v>
      </c>
      <c r="AQ87" s="3">
        <f t="shared" si="211"/>
        <v>791484</v>
      </c>
      <c r="AR87" s="116">
        <f t="shared" si="212"/>
        <v>761488</v>
      </c>
      <c r="AS87" s="3">
        <f t="shared" si="213"/>
        <v>14044</v>
      </c>
      <c r="AT87" s="26">
        <f t="shared" si="214"/>
        <v>467</v>
      </c>
    </row>
    <row r="88" spans="1:46" x14ac:dyDescent="0.15">
      <c r="A88" s="146">
        <v>41091</v>
      </c>
      <c r="B88" s="3">
        <v>7887</v>
      </c>
      <c r="C88" s="115">
        <f t="shared" si="66"/>
        <v>6.4115696029655639E-2</v>
      </c>
      <c r="D88" s="3">
        <v>123012</v>
      </c>
      <c r="E88" s="178">
        <v>854</v>
      </c>
      <c r="F88" s="115">
        <f t="shared" si="67"/>
        <v>0.46948873007146785</v>
      </c>
      <c r="G88" s="3">
        <v>1819</v>
      </c>
      <c r="H88" s="178">
        <v>33</v>
      </c>
      <c r="I88" s="115">
        <f t="shared" si="68"/>
        <v>0.80487804878048785</v>
      </c>
      <c r="J88" s="3">
        <v>41</v>
      </c>
      <c r="K88" s="195">
        <f t="shared" si="200"/>
        <v>8774</v>
      </c>
      <c r="L88" s="115">
        <f t="shared" si="199"/>
        <v>7.0263950285091928E-2</v>
      </c>
      <c r="M88" s="23">
        <f t="shared" si="201"/>
        <v>124872</v>
      </c>
      <c r="N88" s="4">
        <v>149218</v>
      </c>
      <c r="O88" s="67">
        <f t="shared" si="74"/>
        <v>0.24827129518092336</v>
      </c>
      <c r="P88" s="181">
        <v>601028</v>
      </c>
      <c r="Q88" s="68">
        <v>5764</v>
      </c>
      <c r="R88" s="67">
        <f t="shared" si="75"/>
        <v>0.47889664340312393</v>
      </c>
      <c r="S88" s="40">
        <v>12036</v>
      </c>
      <c r="T88" s="68">
        <v>366</v>
      </c>
      <c r="U88" s="67">
        <f t="shared" si="76"/>
        <v>0.89051094890510951</v>
      </c>
      <c r="V88" s="40">
        <v>411</v>
      </c>
      <c r="W88" s="63">
        <f t="shared" si="202"/>
        <v>155348</v>
      </c>
      <c r="X88" s="67">
        <f t="shared" si="197"/>
        <v>0.253226292839969</v>
      </c>
      <c r="Y88" s="26">
        <f t="shared" si="203"/>
        <v>613475</v>
      </c>
      <c r="Z88" s="3">
        <v>32</v>
      </c>
      <c r="AA88" s="115">
        <f t="shared" si="71"/>
        <v>8.57426113984084E-4</v>
      </c>
      <c r="AB88" s="40">
        <v>37321</v>
      </c>
      <c r="AC88" s="3">
        <v>50</v>
      </c>
      <c r="AD88" s="115">
        <f t="shared" si="72"/>
        <v>0.27322404371584702</v>
      </c>
      <c r="AE88" s="40">
        <v>183</v>
      </c>
      <c r="AF88" s="3">
        <v>11</v>
      </c>
      <c r="AG88" s="7">
        <f t="shared" si="73"/>
        <v>0.7857142857142857</v>
      </c>
      <c r="AH88" s="3">
        <v>14</v>
      </c>
      <c r="AI88" s="41">
        <f t="shared" si="204"/>
        <v>93</v>
      </c>
      <c r="AJ88" s="7">
        <f t="shared" si="198"/>
        <v>2.4788101711178635E-3</v>
      </c>
      <c r="AK88" s="44">
        <f t="shared" si="205"/>
        <v>37518</v>
      </c>
      <c r="AL88" s="117">
        <f t="shared" si="206"/>
        <v>0.20638961018491886</v>
      </c>
      <c r="AM88" s="115">
        <f t="shared" si="207"/>
        <v>0.4749964382390654</v>
      </c>
      <c r="AN88" s="7">
        <f t="shared" si="208"/>
        <v>0.87982832618025753</v>
      </c>
      <c r="AO88" s="171">
        <f t="shared" si="209"/>
        <v>0.20764052388406573</v>
      </c>
      <c r="AP88" s="63">
        <f t="shared" si="210"/>
        <v>164215</v>
      </c>
      <c r="AQ88" s="3">
        <f t="shared" si="211"/>
        <v>790862</v>
      </c>
      <c r="AR88" s="116">
        <f t="shared" si="212"/>
        <v>761361</v>
      </c>
      <c r="AS88" s="3">
        <f t="shared" si="213"/>
        <v>14038</v>
      </c>
      <c r="AT88" s="26">
        <f t="shared" si="214"/>
        <v>466</v>
      </c>
    </row>
    <row r="89" spans="1:46" x14ac:dyDescent="0.15">
      <c r="A89" s="146">
        <v>41061</v>
      </c>
      <c r="B89" s="3">
        <v>7161</v>
      </c>
      <c r="C89" s="115">
        <f t="shared" si="66"/>
        <v>5.8310058709052266E-2</v>
      </c>
      <c r="D89" s="3">
        <v>122809</v>
      </c>
      <c r="E89" s="178">
        <v>840</v>
      </c>
      <c r="F89" s="115">
        <f t="shared" si="67"/>
        <v>0.46306504961411243</v>
      </c>
      <c r="G89" s="3">
        <v>1814</v>
      </c>
      <c r="H89" s="178">
        <v>31</v>
      </c>
      <c r="I89" s="115">
        <f t="shared" si="68"/>
        <v>0.77500000000000002</v>
      </c>
      <c r="J89" s="3">
        <v>40</v>
      </c>
      <c r="K89" s="195">
        <f t="shared" si="200"/>
        <v>8032</v>
      </c>
      <c r="L89" s="115">
        <f t="shared" si="199"/>
        <v>6.4429702477880366E-2</v>
      </c>
      <c r="M89" s="23">
        <f t="shared" si="201"/>
        <v>124663</v>
      </c>
      <c r="N89" s="4">
        <v>141234</v>
      </c>
      <c r="O89" s="67">
        <f t="shared" si="74"/>
        <v>0.23504644045287137</v>
      </c>
      <c r="P89" s="181">
        <v>600877</v>
      </c>
      <c r="Q89" s="68">
        <v>5667</v>
      </c>
      <c r="R89" s="67">
        <f t="shared" si="75"/>
        <v>0.46986153718597129</v>
      </c>
      <c r="S89" s="40">
        <v>12061</v>
      </c>
      <c r="T89" s="68">
        <v>372</v>
      </c>
      <c r="U89" s="67">
        <f t="shared" si="76"/>
        <v>0.88782816229116945</v>
      </c>
      <c r="V89" s="40">
        <v>419</v>
      </c>
      <c r="W89" s="63">
        <f t="shared" si="202"/>
        <v>147273</v>
      </c>
      <c r="X89" s="67">
        <f t="shared" ref="X89:X95" si="215">W89/Y89</f>
        <v>0.24010975663439074</v>
      </c>
      <c r="Y89" s="26">
        <f t="shared" si="203"/>
        <v>613357</v>
      </c>
      <c r="Z89" s="3">
        <v>32</v>
      </c>
      <c r="AA89" s="115">
        <f t="shared" si="71"/>
        <v>8.5751802127716594E-4</v>
      </c>
      <c r="AB89" s="40">
        <v>37317</v>
      </c>
      <c r="AC89" s="3">
        <v>50</v>
      </c>
      <c r="AD89" s="115">
        <f t="shared" si="72"/>
        <v>0.27322404371584702</v>
      </c>
      <c r="AE89" s="40">
        <v>183</v>
      </c>
      <c r="AF89" s="3">
        <v>11</v>
      </c>
      <c r="AG89" s="7">
        <f t="shared" si="73"/>
        <v>0.7857142857142857</v>
      </c>
      <c r="AH89" s="3">
        <v>14</v>
      </c>
      <c r="AI89" s="41">
        <f t="shared" si="204"/>
        <v>93</v>
      </c>
      <c r="AJ89" s="7">
        <f t="shared" si="198"/>
        <v>2.4790744788612249E-3</v>
      </c>
      <c r="AK89" s="44">
        <f t="shared" si="205"/>
        <v>37514</v>
      </c>
      <c r="AL89" s="117">
        <f t="shared" si="206"/>
        <v>0.19504128104619825</v>
      </c>
      <c r="AM89" s="115">
        <f t="shared" si="207"/>
        <v>0.46642481149523402</v>
      </c>
      <c r="AN89" s="7">
        <f t="shared" si="208"/>
        <v>0.87526427061310785</v>
      </c>
      <c r="AO89" s="171">
        <f t="shared" si="209"/>
        <v>0.19678155446765724</v>
      </c>
      <c r="AP89" s="63">
        <f t="shared" si="210"/>
        <v>155398</v>
      </c>
      <c r="AQ89" s="3">
        <f t="shared" si="211"/>
        <v>789698</v>
      </c>
      <c r="AR89" s="116">
        <f t="shared" si="212"/>
        <v>761003</v>
      </c>
      <c r="AS89" s="3">
        <f t="shared" si="213"/>
        <v>14058</v>
      </c>
      <c r="AT89" s="26">
        <f t="shared" si="214"/>
        <v>473</v>
      </c>
    </row>
    <row r="90" spans="1:46" x14ac:dyDescent="0.15">
      <c r="A90" s="146">
        <v>41030</v>
      </c>
      <c r="B90" s="3">
        <v>6574</v>
      </c>
      <c r="C90" s="115">
        <f t="shared" si="66"/>
        <v>5.373022100170001E-2</v>
      </c>
      <c r="D90" s="3">
        <v>122352</v>
      </c>
      <c r="E90" s="178">
        <v>812</v>
      </c>
      <c r="F90" s="115">
        <f t="shared" si="67"/>
        <v>0.44886677722498619</v>
      </c>
      <c r="G90" s="3">
        <v>1809</v>
      </c>
      <c r="H90" s="178">
        <v>31</v>
      </c>
      <c r="I90" s="115">
        <f t="shared" si="68"/>
        <v>0.77500000000000002</v>
      </c>
      <c r="J90" s="3">
        <v>40</v>
      </c>
      <c r="K90" s="195">
        <f t="shared" si="200"/>
        <v>7417</v>
      </c>
      <c r="L90" s="115">
        <f t="shared" si="199"/>
        <v>5.9717715638360397E-2</v>
      </c>
      <c r="M90" s="23">
        <f t="shared" si="201"/>
        <v>124201</v>
      </c>
      <c r="N90" s="4">
        <v>132404</v>
      </c>
      <c r="O90" s="67">
        <f t="shared" si="74"/>
        <v>0.22059024434129812</v>
      </c>
      <c r="P90" s="181">
        <v>600226</v>
      </c>
      <c r="Q90" s="68">
        <v>5540</v>
      </c>
      <c r="R90" s="67">
        <f t="shared" si="75"/>
        <v>0.45978919412399372</v>
      </c>
      <c r="S90" s="40">
        <v>12049</v>
      </c>
      <c r="T90" s="68">
        <v>376</v>
      </c>
      <c r="U90" s="67">
        <f t="shared" si="76"/>
        <v>0.88056206088992972</v>
      </c>
      <c r="V90" s="40">
        <v>427</v>
      </c>
      <c r="W90" s="63">
        <f t="shared" si="202"/>
        <v>138320</v>
      </c>
      <c r="X90" s="67">
        <f t="shared" si="215"/>
        <v>0.22575411864168879</v>
      </c>
      <c r="Y90" s="26">
        <f t="shared" si="203"/>
        <v>612702</v>
      </c>
      <c r="Z90" s="3">
        <v>30</v>
      </c>
      <c r="AA90" s="115">
        <f t="shared" si="71"/>
        <v>8.0353555644837281E-4</v>
      </c>
      <c r="AB90" s="40">
        <v>37335</v>
      </c>
      <c r="AC90" s="3">
        <v>45</v>
      </c>
      <c r="AD90" s="115">
        <f t="shared" si="72"/>
        <v>0.28301886792452829</v>
      </c>
      <c r="AE90" s="40">
        <v>159</v>
      </c>
      <c r="AF90" s="3">
        <v>11</v>
      </c>
      <c r="AG90" s="7">
        <f t="shared" si="73"/>
        <v>0.7857142857142857</v>
      </c>
      <c r="AH90" s="3">
        <v>14</v>
      </c>
      <c r="AI90" s="41">
        <f t="shared" si="204"/>
        <v>86</v>
      </c>
      <c r="AJ90" s="7">
        <f t="shared" si="198"/>
        <v>2.2928441932387757E-3</v>
      </c>
      <c r="AK90" s="44">
        <f t="shared" si="205"/>
        <v>37508</v>
      </c>
      <c r="AL90" s="117">
        <f t="shared" si="206"/>
        <v>0.18292620339433593</v>
      </c>
      <c r="AM90" s="115">
        <f t="shared" si="207"/>
        <v>0.45637440251123634</v>
      </c>
      <c r="AN90" s="7">
        <f t="shared" si="208"/>
        <v>0.86902286902286907</v>
      </c>
      <c r="AO90" s="171">
        <f t="shared" si="209"/>
        <v>0.18509450008250511</v>
      </c>
      <c r="AP90" s="63">
        <f t="shared" si="210"/>
        <v>145823</v>
      </c>
      <c r="AQ90" s="3">
        <f t="shared" si="211"/>
        <v>787830</v>
      </c>
      <c r="AR90" s="116">
        <f t="shared" si="212"/>
        <v>759913</v>
      </c>
      <c r="AS90" s="3">
        <f t="shared" si="213"/>
        <v>14017</v>
      </c>
      <c r="AT90" s="26">
        <f t="shared" si="214"/>
        <v>481</v>
      </c>
    </row>
    <row r="91" spans="1:46" x14ac:dyDescent="0.15">
      <c r="A91" s="146">
        <v>41000</v>
      </c>
      <c r="B91" s="3">
        <v>5871</v>
      </c>
      <c r="C91" s="115">
        <f t="shared" si="66"/>
        <v>4.8259818830453584E-2</v>
      </c>
      <c r="D91" s="3">
        <v>121654</v>
      </c>
      <c r="E91" s="178">
        <v>798</v>
      </c>
      <c r="F91" s="115">
        <f t="shared" si="67"/>
        <v>0.44407345575959933</v>
      </c>
      <c r="G91" s="3">
        <v>1797</v>
      </c>
      <c r="H91" s="178">
        <v>31</v>
      </c>
      <c r="I91" s="115">
        <f t="shared" si="68"/>
        <v>0.77500000000000002</v>
      </c>
      <c r="J91" s="3">
        <v>40</v>
      </c>
      <c r="K91" s="195">
        <f t="shared" si="200"/>
        <v>6700</v>
      </c>
      <c r="L91" s="115">
        <f t="shared" si="199"/>
        <v>5.425496594893555E-2</v>
      </c>
      <c r="M91" s="23">
        <f t="shared" si="201"/>
        <v>123491</v>
      </c>
      <c r="N91" s="4">
        <v>100713</v>
      </c>
      <c r="O91" s="67">
        <f t="shared" si="74"/>
        <v>0.16752971314031923</v>
      </c>
      <c r="P91" s="181">
        <v>601165</v>
      </c>
      <c r="Q91" s="68">
        <v>5339</v>
      </c>
      <c r="R91" s="67">
        <f t="shared" si="75"/>
        <v>0.44432423435419438</v>
      </c>
      <c r="S91" s="40">
        <v>12016</v>
      </c>
      <c r="T91" s="68">
        <v>376</v>
      </c>
      <c r="U91" s="67">
        <f t="shared" si="76"/>
        <v>0.88056206088992972</v>
      </c>
      <c r="V91" s="40">
        <v>427</v>
      </c>
      <c r="W91" s="63">
        <f t="shared" si="202"/>
        <v>106428</v>
      </c>
      <c r="X91" s="67">
        <f t="shared" si="215"/>
        <v>0.17344623929283842</v>
      </c>
      <c r="Y91" s="26">
        <f t="shared" si="203"/>
        <v>613608</v>
      </c>
      <c r="Z91" s="3">
        <v>30</v>
      </c>
      <c r="AA91" s="115">
        <f t="shared" si="71"/>
        <v>8.0418174507438679E-4</v>
      </c>
      <c r="AB91" s="40">
        <v>37305</v>
      </c>
      <c r="AC91" s="3">
        <v>48</v>
      </c>
      <c r="AD91" s="115">
        <f t="shared" si="72"/>
        <v>0.26373626373626374</v>
      </c>
      <c r="AE91" s="40">
        <v>182</v>
      </c>
      <c r="AF91" s="3">
        <v>11</v>
      </c>
      <c r="AG91" s="7">
        <f t="shared" si="73"/>
        <v>0.7857142857142857</v>
      </c>
      <c r="AH91" s="3">
        <v>14</v>
      </c>
      <c r="AI91" s="41">
        <f t="shared" si="204"/>
        <v>89</v>
      </c>
      <c r="AJ91" s="7">
        <f t="shared" ref="AJ91:AJ97" si="216">AI91/AK91</f>
        <v>2.3732700461321032E-3</v>
      </c>
      <c r="AK91" s="44">
        <f t="shared" si="205"/>
        <v>37501</v>
      </c>
      <c r="AL91" s="117">
        <f t="shared" si="206"/>
        <v>0.1402586946340334</v>
      </c>
      <c r="AM91" s="115">
        <f t="shared" si="207"/>
        <v>0.44194355126831009</v>
      </c>
      <c r="AN91" s="7">
        <f t="shared" si="208"/>
        <v>0.86902286902286907</v>
      </c>
      <c r="AO91" s="171">
        <f t="shared" si="209"/>
        <v>0.14383994999390171</v>
      </c>
      <c r="AP91" s="63">
        <f t="shared" si="210"/>
        <v>113217</v>
      </c>
      <c r="AQ91" s="3">
        <f t="shared" si="211"/>
        <v>787104</v>
      </c>
      <c r="AR91" s="116">
        <f t="shared" si="212"/>
        <v>760124</v>
      </c>
      <c r="AS91" s="3">
        <f t="shared" si="213"/>
        <v>13995</v>
      </c>
      <c r="AT91" s="26">
        <f t="shared" si="214"/>
        <v>481</v>
      </c>
    </row>
    <row r="92" spans="1:46" x14ac:dyDescent="0.15">
      <c r="A92" s="146">
        <v>40969</v>
      </c>
      <c r="B92" s="3">
        <v>4975</v>
      </c>
      <c r="C92" s="115">
        <f t="shared" si="66"/>
        <v>4.1065473635553205E-2</v>
      </c>
      <c r="D92" s="3">
        <v>121148</v>
      </c>
      <c r="E92" s="178">
        <v>766</v>
      </c>
      <c r="F92" s="115">
        <f t="shared" si="67"/>
        <v>0.43796455117209832</v>
      </c>
      <c r="G92" s="3">
        <v>1749</v>
      </c>
      <c r="H92" s="178">
        <v>31</v>
      </c>
      <c r="I92" s="115">
        <f t="shared" si="68"/>
        <v>0.77500000000000002</v>
      </c>
      <c r="J92" s="3">
        <v>40</v>
      </c>
      <c r="K92" s="195">
        <f t="shared" ref="K92:K97" si="217">+H92+E92+B92</f>
        <v>5772</v>
      </c>
      <c r="L92" s="115">
        <f t="shared" ref="L92:L97" si="218">K92/M92</f>
        <v>4.6950877278606112E-2</v>
      </c>
      <c r="M92" s="23">
        <f t="shared" ref="M92:M97" si="219">+J92+G92+D92</f>
        <v>122937</v>
      </c>
      <c r="N92" s="182">
        <v>76130</v>
      </c>
      <c r="O92" s="67">
        <f t="shared" si="74"/>
        <v>0.12657175586098887</v>
      </c>
      <c r="P92" s="181">
        <v>601477</v>
      </c>
      <c r="Q92" s="68">
        <v>5129</v>
      </c>
      <c r="R92" s="67">
        <f t="shared" si="75"/>
        <v>0.42938467978233569</v>
      </c>
      <c r="S92" s="40">
        <v>11945</v>
      </c>
      <c r="T92" s="68">
        <v>376</v>
      </c>
      <c r="U92" s="67">
        <f t="shared" si="76"/>
        <v>0.88056206088992972</v>
      </c>
      <c r="V92" s="40">
        <v>427</v>
      </c>
      <c r="W92" s="63">
        <f t="shared" ref="W92:W97" si="220">+T92+Q92+N92</f>
        <v>81635</v>
      </c>
      <c r="X92" s="67">
        <f t="shared" si="215"/>
        <v>0.13298873175650688</v>
      </c>
      <c r="Y92" s="26">
        <f t="shared" ref="Y92:Y97" si="221">+V92+S92+P92</f>
        <v>613849</v>
      </c>
      <c r="Z92" s="3">
        <v>29</v>
      </c>
      <c r="AA92" s="115">
        <f t="shared" si="71"/>
        <v>7.7733401238373496E-4</v>
      </c>
      <c r="AB92" s="40">
        <v>37307</v>
      </c>
      <c r="AC92" s="3">
        <v>46</v>
      </c>
      <c r="AD92" s="115">
        <f t="shared" si="72"/>
        <v>0.25136612021857924</v>
      </c>
      <c r="AE92" s="40">
        <v>183</v>
      </c>
      <c r="AF92" s="3">
        <v>11</v>
      </c>
      <c r="AG92" s="7">
        <f t="shared" si="73"/>
        <v>0.7857142857142857</v>
      </c>
      <c r="AH92" s="3">
        <v>14</v>
      </c>
      <c r="AI92" s="41">
        <f t="shared" ref="AI92:AI97" si="222">+AF92+AC92+Z92</f>
        <v>86</v>
      </c>
      <c r="AJ92" s="7">
        <f t="shared" si="216"/>
        <v>2.293088737201365E-3</v>
      </c>
      <c r="AK92" s="44">
        <f t="shared" ref="AK92:AK97" si="223">+AH92+AE92+AB92</f>
        <v>37504</v>
      </c>
      <c r="AL92" s="117">
        <f t="shared" ref="AL92:AL97" si="224">(B92+N92+Z92)/AR92</f>
        <v>0.10676481579930835</v>
      </c>
      <c r="AM92" s="115">
        <f t="shared" ref="AM92:AM97" si="225">(E92+Q92+AC92)/AS92</f>
        <v>0.42811846940981479</v>
      </c>
      <c r="AN92" s="7">
        <f t="shared" ref="AN92:AN97" si="226">(H92+T92+AF92)/AT92</f>
        <v>0.86902286902286907</v>
      </c>
      <c r="AO92" s="171">
        <f t="shared" ref="AO92:AO97" si="227">AP92/AQ92</f>
        <v>0.11136341361898955</v>
      </c>
      <c r="AP92" s="63">
        <f t="shared" ref="AP92:AP97" si="228">AF92+AC92+Z92+T92+Q92+N92+H92+E92+B92</f>
        <v>87493</v>
      </c>
      <c r="AQ92" s="3">
        <f t="shared" ref="AQ92:AQ97" si="229">AH92+AF92+AE92+AC92+Z92+AB92+V92+T92+S92+Q92+P92+J92+H92+G92+E92+D92+B92</f>
        <v>785653</v>
      </c>
      <c r="AR92" s="116">
        <f t="shared" ref="AR92:AR97" si="230">+D92+P92+AB92</f>
        <v>759932</v>
      </c>
      <c r="AS92" s="3">
        <f t="shared" ref="AS92:AS97" si="231">G92+S92+AE92</f>
        <v>13877</v>
      </c>
      <c r="AT92" s="26">
        <f t="shared" ref="AT92:AT97" si="232">J92+V92+AH92</f>
        <v>481</v>
      </c>
    </row>
    <row r="93" spans="1:46" x14ac:dyDescent="0.15">
      <c r="A93" s="146">
        <v>40940</v>
      </c>
      <c r="B93" s="3">
        <v>4552</v>
      </c>
      <c r="C93" s="115">
        <f t="shared" si="66"/>
        <v>3.7625431882428791E-2</v>
      </c>
      <c r="D93" s="3">
        <v>120982</v>
      </c>
      <c r="E93" s="178">
        <v>768</v>
      </c>
      <c r="F93" s="115">
        <f t="shared" si="67"/>
        <v>0.44599303135888502</v>
      </c>
      <c r="G93" s="3">
        <v>1722</v>
      </c>
      <c r="H93" s="178">
        <v>30</v>
      </c>
      <c r="I93" s="115">
        <f t="shared" si="68"/>
        <v>0.75</v>
      </c>
      <c r="J93" s="3">
        <v>40</v>
      </c>
      <c r="K93" s="195">
        <f t="shared" si="217"/>
        <v>5350</v>
      </c>
      <c r="L93" s="115">
        <f t="shared" si="218"/>
        <v>4.3586651893371568E-2</v>
      </c>
      <c r="M93" s="23">
        <f t="shared" si="219"/>
        <v>122744</v>
      </c>
      <c r="N93" s="182">
        <v>36227</v>
      </c>
      <c r="O93" s="67">
        <f t="shared" si="74"/>
        <v>6.025511163004988E-2</v>
      </c>
      <c r="P93" s="181">
        <v>601227</v>
      </c>
      <c r="Q93" s="68">
        <v>4839</v>
      </c>
      <c r="R93" s="67">
        <f t="shared" si="75"/>
        <v>0.4057181185545401</v>
      </c>
      <c r="S93" s="40">
        <v>11927</v>
      </c>
      <c r="T93" s="68">
        <v>376</v>
      </c>
      <c r="U93" s="67">
        <f t="shared" si="76"/>
        <v>0.87441860465116283</v>
      </c>
      <c r="V93" s="40">
        <v>430</v>
      </c>
      <c r="W93" s="63">
        <f t="shared" si="220"/>
        <v>41442</v>
      </c>
      <c r="X93" s="67">
        <f t="shared" si="215"/>
        <v>6.75408745990769E-2</v>
      </c>
      <c r="Y93" s="26">
        <f t="shared" si="221"/>
        <v>613584</v>
      </c>
      <c r="Z93" s="3">
        <v>30</v>
      </c>
      <c r="AA93" s="115">
        <f t="shared" si="71"/>
        <v>8.0435423760624183E-4</v>
      </c>
      <c r="AB93" s="40">
        <v>37297</v>
      </c>
      <c r="AC93" s="3">
        <v>46</v>
      </c>
      <c r="AD93" s="115">
        <f t="shared" si="72"/>
        <v>0.25</v>
      </c>
      <c r="AE93" s="40">
        <v>184</v>
      </c>
      <c r="AF93" s="3">
        <v>12</v>
      </c>
      <c r="AG93" s="7">
        <f t="shared" si="73"/>
        <v>0.75</v>
      </c>
      <c r="AH93" s="3">
        <v>16</v>
      </c>
      <c r="AI93" s="41">
        <f t="shared" si="222"/>
        <v>88</v>
      </c>
      <c r="AJ93" s="7">
        <f t="shared" si="216"/>
        <v>2.3468544150198681E-3</v>
      </c>
      <c r="AK93" s="44">
        <f t="shared" si="223"/>
        <v>37497</v>
      </c>
      <c r="AL93" s="117">
        <f t="shared" si="224"/>
        <v>5.3730977767127583E-2</v>
      </c>
      <c r="AM93" s="115">
        <f t="shared" si="225"/>
        <v>0.40866044964938913</v>
      </c>
      <c r="AN93" s="7">
        <f t="shared" si="226"/>
        <v>0.86008230452674894</v>
      </c>
      <c r="AO93" s="171">
        <f t="shared" si="227"/>
        <v>5.9759483376206853E-2</v>
      </c>
      <c r="AP93" s="63">
        <f t="shared" si="228"/>
        <v>46880</v>
      </c>
      <c r="AQ93" s="3">
        <f t="shared" si="229"/>
        <v>784478</v>
      </c>
      <c r="AR93" s="116">
        <f t="shared" si="230"/>
        <v>759506</v>
      </c>
      <c r="AS93" s="3">
        <f t="shared" si="231"/>
        <v>13833</v>
      </c>
      <c r="AT93" s="26">
        <f t="shared" si="232"/>
        <v>486</v>
      </c>
    </row>
    <row r="94" spans="1:46" x14ac:dyDescent="0.15">
      <c r="A94" s="146">
        <v>40909</v>
      </c>
      <c r="B94" s="3">
        <v>1476</v>
      </c>
      <c r="C94" s="115">
        <f t="shared" si="66"/>
        <v>1.2475277650996501E-2</v>
      </c>
      <c r="D94" s="3">
        <v>118314</v>
      </c>
      <c r="E94" s="178">
        <v>744</v>
      </c>
      <c r="F94" s="115">
        <f t="shared" si="67"/>
        <v>0.44312090530077425</v>
      </c>
      <c r="G94" s="3">
        <v>1679</v>
      </c>
      <c r="H94" s="178">
        <v>31</v>
      </c>
      <c r="I94" s="115">
        <f t="shared" si="68"/>
        <v>0.73809523809523814</v>
      </c>
      <c r="J94" s="3">
        <v>42</v>
      </c>
      <c r="K94" s="195">
        <f t="shared" si="217"/>
        <v>2251</v>
      </c>
      <c r="L94" s="115">
        <f t="shared" si="218"/>
        <v>1.875286374807348E-2</v>
      </c>
      <c r="M94" s="23">
        <f t="shared" si="219"/>
        <v>120035</v>
      </c>
      <c r="N94" s="182">
        <v>28236</v>
      </c>
      <c r="O94" s="67">
        <f t="shared" si="74"/>
        <v>4.6973256053820613E-2</v>
      </c>
      <c r="P94" s="181">
        <v>601108</v>
      </c>
      <c r="Q94" s="68">
        <v>4694</v>
      </c>
      <c r="R94" s="67">
        <f t="shared" si="75"/>
        <v>0.39336294309896924</v>
      </c>
      <c r="S94" s="40">
        <v>11933</v>
      </c>
      <c r="T94" s="68">
        <v>371</v>
      </c>
      <c r="U94" s="67">
        <f t="shared" si="76"/>
        <v>0.86682242990654201</v>
      </c>
      <c r="V94" s="40">
        <v>428</v>
      </c>
      <c r="W94" s="63">
        <f t="shared" si="220"/>
        <v>33301</v>
      </c>
      <c r="X94" s="67">
        <f t="shared" si="215"/>
        <v>5.4283101509611735E-2</v>
      </c>
      <c r="Y94" s="26">
        <f t="shared" si="221"/>
        <v>613469</v>
      </c>
      <c r="Z94" s="3">
        <v>31</v>
      </c>
      <c r="AA94" s="115">
        <f t="shared" si="71"/>
        <v>8.3087644063253819E-4</v>
      </c>
      <c r="AB94" s="40">
        <v>37310</v>
      </c>
      <c r="AC94" s="3">
        <v>46</v>
      </c>
      <c r="AD94" s="115">
        <f t="shared" si="72"/>
        <v>0.25</v>
      </c>
      <c r="AE94" s="40">
        <v>184</v>
      </c>
      <c r="AF94" s="3">
        <v>10</v>
      </c>
      <c r="AG94" s="7">
        <f t="shared" si="73"/>
        <v>0.7142857142857143</v>
      </c>
      <c r="AH94" s="3">
        <v>14</v>
      </c>
      <c r="AI94" s="41">
        <f t="shared" si="222"/>
        <v>87</v>
      </c>
      <c r="AJ94" s="7">
        <f t="shared" si="216"/>
        <v>2.3195051722299243E-3</v>
      </c>
      <c r="AK94" s="44">
        <f t="shared" si="223"/>
        <v>37508</v>
      </c>
      <c r="AL94" s="117">
        <f t="shared" si="224"/>
        <v>3.9304535819814676E-2</v>
      </c>
      <c r="AM94" s="115">
        <f t="shared" si="225"/>
        <v>0.39750652363003769</v>
      </c>
      <c r="AN94" s="7">
        <f t="shared" si="226"/>
        <v>0.85123966942148765</v>
      </c>
      <c r="AO94" s="171">
        <f t="shared" si="227"/>
        <v>4.5784061201287231E-2</v>
      </c>
      <c r="AP94" s="63">
        <f t="shared" si="228"/>
        <v>35639</v>
      </c>
      <c r="AQ94" s="3">
        <f t="shared" si="229"/>
        <v>778415</v>
      </c>
      <c r="AR94" s="116">
        <f t="shared" si="230"/>
        <v>756732</v>
      </c>
      <c r="AS94" s="3">
        <f t="shared" si="231"/>
        <v>13796</v>
      </c>
      <c r="AT94" s="26">
        <f t="shared" si="232"/>
        <v>484</v>
      </c>
    </row>
    <row r="95" spans="1:46" x14ac:dyDescent="0.15">
      <c r="A95" s="146">
        <v>40878</v>
      </c>
      <c r="B95" s="3">
        <v>3971</v>
      </c>
      <c r="C95" s="115">
        <f t="shared" si="66"/>
        <v>3.2780524851616741E-2</v>
      </c>
      <c r="D95" s="3">
        <v>121139</v>
      </c>
      <c r="E95" s="178">
        <v>723</v>
      </c>
      <c r="F95" s="115">
        <f t="shared" si="67"/>
        <v>0.42654867256637169</v>
      </c>
      <c r="G95" s="3">
        <v>1695</v>
      </c>
      <c r="H95" s="178">
        <v>31</v>
      </c>
      <c r="I95" s="115">
        <f t="shared" si="68"/>
        <v>0.73809523809523814</v>
      </c>
      <c r="J95" s="3">
        <v>42</v>
      </c>
      <c r="K95" s="195">
        <f t="shared" si="217"/>
        <v>4725</v>
      </c>
      <c r="L95" s="115">
        <f t="shared" si="218"/>
        <v>3.8453400175786974E-2</v>
      </c>
      <c r="M95" s="23">
        <f t="shared" si="219"/>
        <v>122876</v>
      </c>
      <c r="N95" s="180">
        <v>28427</v>
      </c>
      <c r="O95" s="67">
        <f t="shared" si="74"/>
        <v>4.8284635950117033E-2</v>
      </c>
      <c r="P95" s="174">
        <v>588738</v>
      </c>
      <c r="Q95" s="68">
        <v>4551</v>
      </c>
      <c r="R95" s="67">
        <f t="shared" si="75"/>
        <v>0.3888414217361586</v>
      </c>
      <c r="S95" s="40">
        <v>11704</v>
      </c>
      <c r="T95" s="68">
        <v>341</v>
      </c>
      <c r="U95" s="67">
        <f t="shared" si="76"/>
        <v>0.8589420654911839</v>
      </c>
      <c r="V95" s="40">
        <v>397</v>
      </c>
      <c r="W95" s="63">
        <f t="shared" si="220"/>
        <v>33319</v>
      </c>
      <c r="X95" s="67">
        <f t="shared" si="215"/>
        <v>5.5454123317560944E-2</v>
      </c>
      <c r="Y95" s="26">
        <f t="shared" si="221"/>
        <v>600839</v>
      </c>
      <c r="Z95" s="3">
        <v>31</v>
      </c>
      <c r="AA95" s="115">
        <f t="shared" si="71"/>
        <v>8.3087644063253819E-4</v>
      </c>
      <c r="AB95" s="40">
        <v>37310</v>
      </c>
      <c r="AC95" s="3">
        <v>46</v>
      </c>
      <c r="AD95" s="115">
        <f t="shared" si="72"/>
        <v>0.25136612021857924</v>
      </c>
      <c r="AE95" s="40">
        <v>183</v>
      </c>
      <c r="AF95" s="3">
        <v>10</v>
      </c>
      <c r="AG95" s="7">
        <f t="shared" si="73"/>
        <v>0.7142857142857143</v>
      </c>
      <c r="AH95" s="3">
        <v>14</v>
      </c>
      <c r="AI95" s="41">
        <f t="shared" si="222"/>
        <v>87</v>
      </c>
      <c r="AJ95" s="7">
        <f t="shared" si="216"/>
        <v>2.3195670141573574E-3</v>
      </c>
      <c r="AK95" s="44">
        <f t="shared" si="223"/>
        <v>37507</v>
      </c>
      <c r="AL95" s="117">
        <f t="shared" si="224"/>
        <v>4.340145104237627E-2</v>
      </c>
      <c r="AM95" s="115">
        <f t="shared" si="225"/>
        <v>0.39169489029597998</v>
      </c>
      <c r="AN95" s="7">
        <f t="shared" si="226"/>
        <v>0.8432671081677704</v>
      </c>
      <c r="AO95" s="171">
        <f t="shared" si="227"/>
        <v>4.9461297193245525E-2</v>
      </c>
      <c r="AP95" s="63">
        <f t="shared" si="228"/>
        <v>38131</v>
      </c>
      <c r="AQ95" s="3">
        <f t="shared" si="229"/>
        <v>770926</v>
      </c>
      <c r="AR95" s="116">
        <f t="shared" si="230"/>
        <v>747187</v>
      </c>
      <c r="AS95" s="3">
        <f t="shared" si="231"/>
        <v>13582</v>
      </c>
      <c r="AT95" s="26">
        <f t="shared" si="232"/>
        <v>453</v>
      </c>
    </row>
    <row r="96" spans="1:46" x14ac:dyDescent="0.15">
      <c r="A96" s="146">
        <v>40848</v>
      </c>
      <c r="B96" s="3">
        <v>3679</v>
      </c>
      <c r="C96" s="115">
        <f t="shared" ref="C96:C114" si="233">B96/D96</f>
        <v>3.0320762181050967E-2</v>
      </c>
      <c r="D96" s="3">
        <v>121336</v>
      </c>
      <c r="E96" s="178">
        <v>716</v>
      </c>
      <c r="F96" s="115">
        <f t="shared" ref="F96:F108" si="234">E96/G96</f>
        <v>0.4177362893815636</v>
      </c>
      <c r="G96" s="3">
        <v>1714</v>
      </c>
      <c r="H96" s="178">
        <v>31</v>
      </c>
      <c r="I96" s="115">
        <f t="shared" ref="I96:I107" si="235">H96/J96</f>
        <v>0.73809523809523814</v>
      </c>
      <c r="J96" s="3">
        <v>42</v>
      </c>
      <c r="K96" s="195">
        <f t="shared" si="217"/>
        <v>4426</v>
      </c>
      <c r="L96" s="115">
        <f t="shared" si="218"/>
        <v>3.5956845286452412E-2</v>
      </c>
      <c r="M96" s="23">
        <f t="shared" si="219"/>
        <v>123092</v>
      </c>
      <c r="N96" s="180">
        <v>18390</v>
      </c>
      <c r="O96" s="67">
        <f t="shared" ref="O96:O102" si="236">N96/P96</f>
        <v>3.1275403825157054E-2</v>
      </c>
      <c r="P96" s="174">
        <v>588002</v>
      </c>
      <c r="Q96" s="68">
        <v>4400</v>
      </c>
      <c r="R96" s="67">
        <f t="shared" ref="R96:R102" si="237">Q96/S96</f>
        <v>0.37571513961233027</v>
      </c>
      <c r="S96" s="40">
        <v>11711</v>
      </c>
      <c r="T96" s="68">
        <v>335</v>
      </c>
      <c r="U96" s="67">
        <f t="shared" ref="U96:U102" si="238">T96/V96</f>
        <v>0.85025380710659904</v>
      </c>
      <c r="V96" s="40">
        <v>394</v>
      </c>
      <c r="W96" s="63">
        <f t="shared" si="220"/>
        <v>23125</v>
      </c>
      <c r="X96" s="67">
        <f t="shared" ref="X96:X103" si="239">W96/Y96</f>
        <v>3.8534794628291291E-2</v>
      </c>
      <c r="Y96" s="26">
        <f t="shared" si="221"/>
        <v>600107</v>
      </c>
      <c r="Z96" s="3">
        <v>32</v>
      </c>
      <c r="AA96" s="115">
        <f t="shared" ref="AA96:AA106" si="240">Z96/AB96</f>
        <v>8.5740314023900115E-4</v>
      </c>
      <c r="AB96" s="40">
        <v>37322</v>
      </c>
      <c r="AC96" s="3">
        <v>46</v>
      </c>
      <c r="AD96" s="115">
        <f t="shared" ref="AD96:AD106" si="241">AC96/AE96</f>
        <v>0.25</v>
      </c>
      <c r="AE96" s="40">
        <v>184</v>
      </c>
      <c r="AF96" s="3">
        <v>10</v>
      </c>
      <c r="AG96" s="7">
        <f t="shared" ref="AG96:AG106" si="242">AF96/AH96</f>
        <v>0.7142857142857143</v>
      </c>
      <c r="AH96" s="3">
        <v>14</v>
      </c>
      <c r="AI96" s="41">
        <f t="shared" si="222"/>
        <v>88</v>
      </c>
      <c r="AJ96" s="7">
        <f t="shared" si="216"/>
        <v>2.345415778251599E-3</v>
      </c>
      <c r="AK96" s="44">
        <f t="shared" si="223"/>
        <v>37520</v>
      </c>
      <c r="AL96" s="117">
        <f t="shared" si="224"/>
        <v>2.9599817855516568E-2</v>
      </c>
      <c r="AM96" s="115">
        <f t="shared" si="225"/>
        <v>0.37930781100742156</v>
      </c>
      <c r="AN96" s="7">
        <f t="shared" si="226"/>
        <v>0.83555555555555561</v>
      </c>
      <c r="AO96" s="171">
        <f t="shared" si="227"/>
        <v>3.5896296988965778E-2</v>
      </c>
      <c r="AP96" s="63">
        <f t="shared" si="228"/>
        <v>27639</v>
      </c>
      <c r="AQ96" s="3">
        <f t="shared" si="229"/>
        <v>769968</v>
      </c>
      <c r="AR96" s="116">
        <f t="shared" si="230"/>
        <v>746660</v>
      </c>
      <c r="AS96" s="3">
        <f t="shared" si="231"/>
        <v>13609</v>
      </c>
      <c r="AT96" s="26">
        <f t="shared" si="232"/>
        <v>450</v>
      </c>
    </row>
    <row r="97" spans="1:46" ht="13.5" customHeight="1" x14ac:dyDescent="0.15">
      <c r="A97" s="146">
        <v>40826</v>
      </c>
      <c r="B97" s="3">
        <v>3564</v>
      </c>
      <c r="C97" s="115">
        <f t="shared" si="233"/>
        <v>2.9258441355870982E-2</v>
      </c>
      <c r="D97" s="3">
        <v>121811</v>
      </c>
      <c r="E97" s="178">
        <v>720</v>
      </c>
      <c r="F97" s="115">
        <f t="shared" si="234"/>
        <v>0.41308089500860584</v>
      </c>
      <c r="G97" s="40">
        <v>1743</v>
      </c>
      <c r="H97" s="51">
        <v>31</v>
      </c>
      <c r="I97" s="115">
        <f t="shared" si="235"/>
        <v>0.73809523809523814</v>
      </c>
      <c r="J97" s="3">
        <v>42</v>
      </c>
      <c r="K97" s="195">
        <f t="shared" si="217"/>
        <v>4315</v>
      </c>
      <c r="L97" s="115">
        <f t="shared" si="218"/>
        <v>3.4912133078740415E-2</v>
      </c>
      <c r="M97" s="23">
        <f t="shared" si="219"/>
        <v>123596</v>
      </c>
      <c r="N97" s="180">
        <v>15681</v>
      </c>
      <c r="O97" s="67">
        <f t="shared" si="236"/>
        <v>2.6677078229625999E-2</v>
      </c>
      <c r="P97" s="3">
        <v>587808</v>
      </c>
      <c r="Q97" s="68">
        <v>4376</v>
      </c>
      <c r="R97" s="67">
        <f t="shared" si="237"/>
        <v>0.37507499785720411</v>
      </c>
      <c r="S97" s="40">
        <v>11667</v>
      </c>
      <c r="T97" s="3">
        <v>335</v>
      </c>
      <c r="U97" s="67">
        <f t="shared" si="238"/>
        <v>0.84810126582278478</v>
      </c>
      <c r="V97" s="3">
        <v>395</v>
      </c>
      <c r="W97" s="63">
        <f t="shared" si="220"/>
        <v>20392</v>
      </c>
      <c r="X97" s="67">
        <f t="shared" si="239"/>
        <v>3.3994032040275395E-2</v>
      </c>
      <c r="Y97" s="26">
        <f t="shared" si="221"/>
        <v>599870</v>
      </c>
      <c r="Z97" s="3">
        <v>32</v>
      </c>
      <c r="AA97" s="115">
        <f t="shared" si="240"/>
        <v>8.5657690454521115E-4</v>
      </c>
      <c r="AB97" s="40">
        <v>37358</v>
      </c>
      <c r="AC97" s="3">
        <v>45</v>
      </c>
      <c r="AD97" s="115">
        <f t="shared" si="241"/>
        <v>0.25423728813559321</v>
      </c>
      <c r="AE97" s="40">
        <v>177</v>
      </c>
      <c r="AF97" s="3">
        <v>10</v>
      </c>
      <c r="AG97" s="7">
        <f t="shared" si="242"/>
        <v>0.7142857142857143</v>
      </c>
      <c r="AH97" s="3">
        <v>14</v>
      </c>
      <c r="AI97" s="41">
        <f t="shared" si="222"/>
        <v>87</v>
      </c>
      <c r="AJ97" s="7">
        <f t="shared" si="216"/>
        <v>2.3169724892806733E-3</v>
      </c>
      <c r="AK97" s="44">
        <f t="shared" si="223"/>
        <v>37549</v>
      </c>
      <c r="AL97" s="117">
        <f t="shared" si="224"/>
        <v>2.5806684810911178E-2</v>
      </c>
      <c r="AM97" s="115">
        <f t="shared" si="225"/>
        <v>0.37837638919555455</v>
      </c>
      <c r="AN97" s="7">
        <f t="shared" si="226"/>
        <v>0.83370288248337032</v>
      </c>
      <c r="AO97" s="171">
        <f t="shared" si="227"/>
        <v>3.2194648162383398E-2</v>
      </c>
      <c r="AP97" s="63">
        <f t="shared" si="228"/>
        <v>24794</v>
      </c>
      <c r="AQ97" s="3">
        <f t="shared" si="229"/>
        <v>770128</v>
      </c>
      <c r="AR97" s="116">
        <f t="shared" si="230"/>
        <v>746977</v>
      </c>
      <c r="AS97" s="3">
        <f t="shared" si="231"/>
        <v>13587</v>
      </c>
      <c r="AT97" s="26">
        <f t="shared" si="232"/>
        <v>451</v>
      </c>
    </row>
    <row r="98" spans="1:46" x14ac:dyDescent="0.15">
      <c r="A98" s="146">
        <v>40797</v>
      </c>
      <c r="B98" s="3">
        <v>3415</v>
      </c>
      <c r="C98" s="115">
        <f t="shared" si="233"/>
        <v>2.787368283585135E-2</v>
      </c>
      <c r="D98" s="3">
        <v>122517</v>
      </c>
      <c r="E98" s="178">
        <v>725</v>
      </c>
      <c r="F98" s="115">
        <f t="shared" si="234"/>
        <v>0.41076487252124644</v>
      </c>
      <c r="G98" s="3">
        <v>1765</v>
      </c>
      <c r="H98" s="178">
        <v>31</v>
      </c>
      <c r="I98" s="115">
        <f t="shared" si="235"/>
        <v>0.73809523809523814</v>
      </c>
      <c r="J98" s="3">
        <v>42</v>
      </c>
      <c r="K98" s="195">
        <f t="shared" ref="K98:K106" si="243">+H98+E98+B98</f>
        <v>4171</v>
      </c>
      <c r="L98" s="115">
        <f t="shared" ref="L98:L106" si="244">K98/M98</f>
        <v>3.3549435346353081E-2</v>
      </c>
      <c r="M98" s="23">
        <f t="shared" ref="M98:M106" si="245">+J98+G98+D98</f>
        <v>124324</v>
      </c>
      <c r="N98" s="180">
        <v>14807</v>
      </c>
      <c r="O98" s="67">
        <f t="shared" si="236"/>
        <v>2.5181159112205559E-2</v>
      </c>
      <c r="P98" s="174">
        <v>588019</v>
      </c>
      <c r="Q98" s="68">
        <v>4381</v>
      </c>
      <c r="R98" s="67">
        <f t="shared" si="237"/>
        <v>0.37605150214592276</v>
      </c>
      <c r="S98" s="40">
        <v>11650</v>
      </c>
      <c r="T98" s="68">
        <v>333</v>
      </c>
      <c r="U98" s="67">
        <f t="shared" si="238"/>
        <v>0.84303797468354436</v>
      </c>
      <c r="V98" s="40">
        <v>395</v>
      </c>
      <c r="W98" s="63">
        <f t="shared" ref="W98:W104" si="246">+T98+Q98+N98</f>
        <v>19521</v>
      </c>
      <c r="X98" s="67">
        <f t="shared" si="239"/>
        <v>3.2531529970136516E-2</v>
      </c>
      <c r="Y98" s="26">
        <f t="shared" ref="Y98:Y104" si="247">+V98+S98+P98</f>
        <v>600064</v>
      </c>
      <c r="Z98" s="3">
        <v>32</v>
      </c>
      <c r="AA98" s="115">
        <f t="shared" si="240"/>
        <v>8.5577514508063004E-4</v>
      </c>
      <c r="AB98" s="40">
        <v>37393</v>
      </c>
      <c r="AC98" s="3">
        <v>46</v>
      </c>
      <c r="AD98" s="115">
        <f t="shared" si="241"/>
        <v>0.24598930481283424</v>
      </c>
      <c r="AE98" s="40">
        <v>187</v>
      </c>
      <c r="AF98" s="3">
        <v>8</v>
      </c>
      <c r="AG98" s="7">
        <f t="shared" si="242"/>
        <v>0.5714285714285714</v>
      </c>
      <c r="AH98" s="3">
        <v>14</v>
      </c>
      <c r="AI98" s="41">
        <f t="shared" ref="AI98:AI104" si="248">+AF98+AC98+Z98</f>
        <v>86</v>
      </c>
      <c r="AJ98" s="7">
        <f t="shared" ref="AJ98:AJ104" si="249">AI98/AK98</f>
        <v>2.287599084960366E-3</v>
      </c>
      <c r="AK98" s="44">
        <f t="shared" ref="AK98:AK104" si="250">+AH98+AE98+AB98</f>
        <v>37594</v>
      </c>
      <c r="AL98" s="117">
        <f t="shared" ref="AL98:AL104" si="251">(B98+N98+Z98)/AR98</f>
        <v>2.4406059933496361E-2</v>
      </c>
      <c r="AM98" s="115">
        <f t="shared" ref="AM98:AM104" si="252">(E98+Q98+AC98)/AS98</f>
        <v>0.37876782826054994</v>
      </c>
      <c r="AN98" s="7">
        <f t="shared" ref="AN98:AN104" si="253">(H98+T98+AF98)/AT98</f>
        <v>0.82483370288248337</v>
      </c>
      <c r="AO98" s="171">
        <f t="shared" ref="AO98:AO104" si="254">AP98/AQ98</f>
        <v>3.0842347069146889E-2</v>
      </c>
      <c r="AP98" s="63">
        <f t="shared" ref="AP98:AP104" si="255">AF98+AC98+Z98+T98+Q98+N98+H98+E98+B98</f>
        <v>23778</v>
      </c>
      <c r="AQ98" s="3">
        <f t="shared" ref="AQ98:AQ104" si="256">AH98+AF98+AE98+AC98+Z98+AB98+V98+T98+S98+Q98+P98+J98+H98+G98+E98+D98+B98</f>
        <v>770953</v>
      </c>
      <c r="AR98" s="116">
        <f t="shared" ref="AR98:AR104" si="257">+D98+P98+AB98</f>
        <v>747929</v>
      </c>
      <c r="AS98" s="3">
        <f t="shared" ref="AS98:AS104" si="258">G98+S98+AE98</f>
        <v>13602</v>
      </c>
      <c r="AT98" s="26">
        <f t="shared" ref="AT98:AT104" si="259">J98+V98+AH98</f>
        <v>451</v>
      </c>
    </row>
    <row r="99" spans="1:46" x14ac:dyDescent="0.15">
      <c r="A99" s="146">
        <v>40756</v>
      </c>
      <c r="B99" s="3">
        <v>3437</v>
      </c>
      <c r="C99" s="115">
        <f t="shared" si="233"/>
        <v>2.7956726858630227E-2</v>
      </c>
      <c r="D99" s="3">
        <v>122940</v>
      </c>
      <c r="E99" s="178">
        <v>728</v>
      </c>
      <c r="F99" s="115">
        <f t="shared" si="234"/>
        <v>0.41223103057757643</v>
      </c>
      <c r="G99" s="3">
        <v>1766</v>
      </c>
      <c r="H99" s="178">
        <v>32</v>
      </c>
      <c r="I99" s="115">
        <f t="shared" si="235"/>
        <v>0.7441860465116279</v>
      </c>
      <c r="J99" s="3">
        <v>43</v>
      </c>
      <c r="K99" s="195">
        <f t="shared" si="243"/>
        <v>4197</v>
      </c>
      <c r="L99" s="115">
        <f t="shared" si="244"/>
        <v>3.3643556260972034E-2</v>
      </c>
      <c r="M99" s="23">
        <f t="shared" si="245"/>
        <v>124749</v>
      </c>
      <c r="N99" s="180">
        <v>14039</v>
      </c>
      <c r="O99" s="67">
        <f t="shared" si="236"/>
        <v>2.3876459433488949E-2</v>
      </c>
      <c r="P99" s="174">
        <v>587985</v>
      </c>
      <c r="Q99" s="68">
        <v>4379</v>
      </c>
      <c r="R99" s="67">
        <f t="shared" si="237"/>
        <v>0.37558967321382625</v>
      </c>
      <c r="S99" s="40">
        <v>11659</v>
      </c>
      <c r="T99" s="68">
        <v>334</v>
      </c>
      <c r="U99" s="67">
        <f t="shared" si="238"/>
        <v>0.84556962025316451</v>
      </c>
      <c r="V99" s="40">
        <v>395</v>
      </c>
      <c r="W99" s="63">
        <f t="shared" si="246"/>
        <v>18752</v>
      </c>
      <c r="X99" s="67">
        <f t="shared" si="239"/>
        <v>3.1251301998703421E-2</v>
      </c>
      <c r="Y99" s="26">
        <f t="shared" si="247"/>
        <v>600039</v>
      </c>
      <c r="Z99" s="3">
        <v>32</v>
      </c>
      <c r="AA99" s="115">
        <f t="shared" si="240"/>
        <v>8.5696687287432048E-4</v>
      </c>
      <c r="AB99" s="40">
        <v>37341</v>
      </c>
      <c r="AC99" s="3">
        <v>46</v>
      </c>
      <c r="AD99" s="115">
        <f t="shared" si="241"/>
        <v>0.24468085106382978</v>
      </c>
      <c r="AE99" s="40">
        <v>188</v>
      </c>
      <c r="AF99" s="3">
        <v>8</v>
      </c>
      <c r="AG99" s="7">
        <f t="shared" si="242"/>
        <v>0.5714285714285714</v>
      </c>
      <c r="AH99" s="3">
        <v>14</v>
      </c>
      <c r="AI99" s="41">
        <f t="shared" si="248"/>
        <v>86</v>
      </c>
      <c r="AJ99" s="7">
        <f t="shared" si="249"/>
        <v>2.2907066563673654E-3</v>
      </c>
      <c r="AK99" s="44">
        <f t="shared" si="250"/>
        <v>37543</v>
      </c>
      <c r="AL99" s="117">
        <f t="shared" si="251"/>
        <v>2.3398096398874198E-2</v>
      </c>
      <c r="AM99" s="115">
        <f t="shared" si="252"/>
        <v>0.37853522368324394</v>
      </c>
      <c r="AN99" s="7">
        <f t="shared" si="253"/>
        <v>0.82743362831858402</v>
      </c>
      <c r="AO99" s="171">
        <f t="shared" si="254"/>
        <v>2.9864117293962225E-2</v>
      </c>
      <c r="AP99" s="63">
        <f t="shared" si="255"/>
        <v>23035</v>
      </c>
      <c r="AQ99" s="3">
        <f t="shared" si="256"/>
        <v>771327</v>
      </c>
      <c r="AR99" s="116">
        <f t="shared" si="257"/>
        <v>748266</v>
      </c>
      <c r="AS99" s="3">
        <f t="shared" si="258"/>
        <v>13613</v>
      </c>
      <c r="AT99" s="26">
        <f t="shared" si="259"/>
        <v>452</v>
      </c>
    </row>
    <row r="100" spans="1:46" x14ac:dyDescent="0.15">
      <c r="A100" s="146">
        <v>40725</v>
      </c>
      <c r="B100" s="3">
        <v>3350</v>
      </c>
      <c r="C100" s="115">
        <f t="shared" si="233"/>
        <v>2.7295467322844269E-2</v>
      </c>
      <c r="D100" s="3">
        <v>122731</v>
      </c>
      <c r="E100" s="178">
        <v>723</v>
      </c>
      <c r="F100" s="115">
        <f t="shared" si="234"/>
        <v>0.41480206540447506</v>
      </c>
      <c r="G100" s="3">
        <v>1743</v>
      </c>
      <c r="H100" s="178">
        <v>32</v>
      </c>
      <c r="I100" s="115">
        <f t="shared" si="235"/>
        <v>0.7441860465116279</v>
      </c>
      <c r="J100" s="3">
        <v>43</v>
      </c>
      <c r="K100" s="195">
        <f t="shared" si="243"/>
        <v>4105</v>
      </c>
      <c r="L100" s="115">
        <f t="shared" si="244"/>
        <v>3.2967385979424495E-2</v>
      </c>
      <c r="M100" s="23">
        <f t="shared" si="245"/>
        <v>124517</v>
      </c>
      <c r="N100" s="180">
        <v>13884</v>
      </c>
      <c r="O100" s="67">
        <f t="shared" si="236"/>
        <v>2.361851103353951E-2</v>
      </c>
      <c r="P100" s="174">
        <v>587844</v>
      </c>
      <c r="Q100" s="68">
        <v>4400</v>
      </c>
      <c r="R100" s="67">
        <f t="shared" si="237"/>
        <v>0.37697052775873885</v>
      </c>
      <c r="S100" s="40">
        <v>11672</v>
      </c>
      <c r="T100" s="68">
        <v>333</v>
      </c>
      <c r="U100" s="67">
        <f t="shared" si="238"/>
        <v>0.84090909090909094</v>
      </c>
      <c r="V100" s="40">
        <v>396</v>
      </c>
      <c r="W100" s="63">
        <f t="shared" si="246"/>
        <v>18617</v>
      </c>
      <c r="X100" s="67">
        <f t="shared" si="239"/>
        <v>3.1032884823107388E-2</v>
      </c>
      <c r="Y100" s="26">
        <f t="shared" si="247"/>
        <v>599912</v>
      </c>
      <c r="Z100" s="3">
        <v>31</v>
      </c>
      <c r="AA100" s="115">
        <f t="shared" si="240"/>
        <v>8.3007551009478932E-4</v>
      </c>
      <c r="AB100" s="40">
        <v>37346</v>
      </c>
      <c r="AC100" s="3">
        <v>45</v>
      </c>
      <c r="AD100" s="115">
        <f t="shared" si="241"/>
        <v>0.23684210526315788</v>
      </c>
      <c r="AE100" s="40">
        <v>190</v>
      </c>
      <c r="AF100" s="3">
        <v>9</v>
      </c>
      <c r="AG100" s="7">
        <f t="shared" si="242"/>
        <v>0.6</v>
      </c>
      <c r="AH100" s="3">
        <v>15</v>
      </c>
      <c r="AI100" s="41">
        <f t="shared" si="248"/>
        <v>85</v>
      </c>
      <c r="AJ100" s="7">
        <f t="shared" si="249"/>
        <v>2.26358818673271E-3</v>
      </c>
      <c r="AK100" s="44">
        <f t="shared" si="250"/>
        <v>37551</v>
      </c>
      <c r="AL100" s="117">
        <f t="shared" si="251"/>
        <v>2.3083988817000727E-2</v>
      </c>
      <c r="AM100" s="115">
        <f t="shared" si="252"/>
        <v>0.37986034546122749</v>
      </c>
      <c r="AN100" s="7">
        <f t="shared" si="253"/>
        <v>0.82378854625550657</v>
      </c>
      <c r="AO100" s="171">
        <f t="shared" si="254"/>
        <v>2.9584785634509142E-2</v>
      </c>
      <c r="AP100" s="63">
        <f t="shared" si="255"/>
        <v>22807</v>
      </c>
      <c r="AQ100" s="3">
        <f t="shared" si="256"/>
        <v>770903</v>
      </c>
      <c r="AR100" s="116">
        <f t="shared" si="257"/>
        <v>747921</v>
      </c>
      <c r="AS100" s="3">
        <f t="shared" si="258"/>
        <v>13605</v>
      </c>
      <c r="AT100" s="26">
        <f t="shared" si="259"/>
        <v>454</v>
      </c>
    </row>
    <row r="101" spans="1:46" x14ac:dyDescent="0.15">
      <c r="A101" s="146">
        <v>40695</v>
      </c>
      <c r="B101" s="3">
        <v>3393</v>
      </c>
      <c r="C101" s="115">
        <f t="shared" si="233"/>
        <v>2.7662280487208337E-2</v>
      </c>
      <c r="D101" s="3">
        <v>122658</v>
      </c>
      <c r="E101" s="178">
        <v>726</v>
      </c>
      <c r="F101" s="115">
        <f t="shared" si="234"/>
        <v>0.41868512110726641</v>
      </c>
      <c r="G101" s="3">
        <v>1734</v>
      </c>
      <c r="H101" s="178">
        <v>33</v>
      </c>
      <c r="I101" s="115">
        <f t="shared" si="235"/>
        <v>0.75</v>
      </c>
      <c r="J101" s="3">
        <v>44</v>
      </c>
      <c r="K101" s="195">
        <f t="shared" si="243"/>
        <v>4152</v>
      </c>
      <c r="L101" s="115">
        <f t="shared" si="244"/>
        <v>3.3366549873027097E-2</v>
      </c>
      <c r="M101" s="23">
        <f t="shared" si="245"/>
        <v>124436</v>
      </c>
      <c r="N101" s="180">
        <v>13990</v>
      </c>
      <c r="O101" s="67">
        <f t="shared" si="236"/>
        <v>2.3807457400988035E-2</v>
      </c>
      <c r="P101" s="174">
        <v>587631</v>
      </c>
      <c r="Q101" s="68">
        <v>4390</v>
      </c>
      <c r="R101" s="67">
        <f t="shared" si="237"/>
        <v>0.37646857044850357</v>
      </c>
      <c r="S101" s="40">
        <v>11661</v>
      </c>
      <c r="T101" s="3">
        <v>333</v>
      </c>
      <c r="U101" s="67">
        <f t="shared" si="238"/>
        <v>0.84090909090909094</v>
      </c>
      <c r="V101" s="3">
        <v>396</v>
      </c>
      <c r="W101" s="63">
        <f t="shared" si="246"/>
        <v>18713</v>
      </c>
      <c r="X101" s="67">
        <f t="shared" si="239"/>
        <v>3.120455970437961E-2</v>
      </c>
      <c r="Y101" s="26">
        <f t="shared" si="247"/>
        <v>599688</v>
      </c>
      <c r="Z101" s="3">
        <v>31</v>
      </c>
      <c r="AA101" s="115">
        <f t="shared" si="240"/>
        <v>8.3067606313138079E-4</v>
      </c>
      <c r="AB101" s="40">
        <v>37319</v>
      </c>
      <c r="AC101" s="3">
        <v>45</v>
      </c>
      <c r="AD101" s="115">
        <f t="shared" si="241"/>
        <v>0.23936170212765959</v>
      </c>
      <c r="AE101" s="40">
        <v>188</v>
      </c>
      <c r="AF101" s="3">
        <v>9</v>
      </c>
      <c r="AG101" s="7">
        <f t="shared" si="242"/>
        <v>0.6</v>
      </c>
      <c r="AH101" s="3">
        <v>15</v>
      </c>
      <c r="AI101" s="41">
        <f t="shared" si="248"/>
        <v>85</v>
      </c>
      <c r="AJ101" s="7">
        <f t="shared" si="249"/>
        <v>2.2653376685677737E-3</v>
      </c>
      <c r="AK101" s="44">
        <f t="shared" si="250"/>
        <v>37522</v>
      </c>
      <c r="AL101" s="117">
        <f t="shared" si="251"/>
        <v>2.3292955666606028E-2</v>
      </c>
      <c r="AM101" s="115">
        <f t="shared" si="252"/>
        <v>0.37996024442317605</v>
      </c>
      <c r="AN101" s="7">
        <f t="shared" si="253"/>
        <v>0.82417582417582413</v>
      </c>
      <c r="AO101" s="171">
        <f t="shared" si="254"/>
        <v>2.9781756176307995E-2</v>
      </c>
      <c r="AP101" s="63">
        <f t="shared" si="255"/>
        <v>22950</v>
      </c>
      <c r="AQ101" s="3">
        <f t="shared" si="256"/>
        <v>770606</v>
      </c>
      <c r="AR101" s="116">
        <f t="shared" si="257"/>
        <v>747608</v>
      </c>
      <c r="AS101" s="3">
        <f t="shared" si="258"/>
        <v>13583</v>
      </c>
      <c r="AT101" s="26">
        <f t="shared" si="259"/>
        <v>455</v>
      </c>
    </row>
    <row r="102" spans="1:46" x14ac:dyDescent="0.15">
      <c r="A102" s="146">
        <v>40664</v>
      </c>
      <c r="B102" s="3">
        <v>3374</v>
      </c>
      <c r="C102" s="115">
        <f t="shared" si="233"/>
        <v>2.7597601773313593E-2</v>
      </c>
      <c r="D102" s="107">
        <v>122257</v>
      </c>
      <c r="E102" s="42">
        <v>729</v>
      </c>
      <c r="F102" s="115">
        <f t="shared" si="234"/>
        <v>0.4223638470451912</v>
      </c>
      <c r="G102" s="40">
        <v>1726</v>
      </c>
      <c r="H102" s="13">
        <v>33</v>
      </c>
      <c r="I102" s="115">
        <f t="shared" si="235"/>
        <v>0.75</v>
      </c>
      <c r="J102" s="13">
        <v>44</v>
      </c>
      <c r="K102" s="195">
        <f t="shared" si="243"/>
        <v>4136</v>
      </c>
      <c r="L102" s="115">
        <f t="shared" si="244"/>
        <v>3.3347577543599377E-2</v>
      </c>
      <c r="M102" s="23">
        <f t="shared" si="245"/>
        <v>124027</v>
      </c>
      <c r="N102" s="180">
        <v>14193</v>
      </c>
      <c r="O102" s="67">
        <f t="shared" si="236"/>
        <v>2.4143421415230105E-2</v>
      </c>
      <c r="P102" s="174">
        <v>587862</v>
      </c>
      <c r="Q102" s="68">
        <v>4379</v>
      </c>
      <c r="R102" s="67">
        <f t="shared" si="237"/>
        <v>0.37802140883977903</v>
      </c>
      <c r="S102" s="40">
        <v>11584</v>
      </c>
      <c r="T102" s="68">
        <v>333</v>
      </c>
      <c r="U102" s="67">
        <f t="shared" si="238"/>
        <v>0.84517766497461932</v>
      </c>
      <c r="V102" s="40">
        <v>394</v>
      </c>
      <c r="W102" s="63">
        <f t="shared" si="246"/>
        <v>18905</v>
      </c>
      <c r="X102" s="67">
        <f t="shared" si="239"/>
        <v>3.1516737796745797E-2</v>
      </c>
      <c r="Y102" s="26">
        <f t="shared" si="247"/>
        <v>599840</v>
      </c>
      <c r="Z102" s="41">
        <v>31</v>
      </c>
      <c r="AA102" s="115">
        <f t="shared" si="240"/>
        <v>8.3076510786546961E-4</v>
      </c>
      <c r="AB102" s="4">
        <v>37315</v>
      </c>
      <c r="AC102" s="78">
        <v>46</v>
      </c>
      <c r="AD102" s="115">
        <f t="shared" si="241"/>
        <v>0.24864864864864866</v>
      </c>
      <c r="AE102" s="43">
        <v>185</v>
      </c>
      <c r="AF102" s="13">
        <v>9</v>
      </c>
      <c r="AG102" s="7">
        <f t="shared" si="242"/>
        <v>0.6</v>
      </c>
      <c r="AH102" s="44">
        <v>15</v>
      </c>
      <c r="AI102" s="41">
        <f t="shared" si="248"/>
        <v>86</v>
      </c>
      <c r="AJ102" s="7">
        <f t="shared" si="249"/>
        <v>2.2924163667866187E-3</v>
      </c>
      <c r="AK102" s="44">
        <f t="shared" si="250"/>
        <v>37515</v>
      </c>
      <c r="AL102" s="117">
        <f t="shared" si="251"/>
        <v>2.3544553766620197E-2</v>
      </c>
      <c r="AM102" s="115">
        <f t="shared" si="252"/>
        <v>0.38191922934420158</v>
      </c>
      <c r="AN102" s="7">
        <f t="shared" si="253"/>
        <v>0.82781456953642385</v>
      </c>
      <c r="AO102" s="171">
        <f t="shared" si="254"/>
        <v>3.0022743912887697E-2</v>
      </c>
      <c r="AP102" s="63">
        <f t="shared" si="255"/>
        <v>23127</v>
      </c>
      <c r="AQ102" s="3">
        <f t="shared" si="256"/>
        <v>770316</v>
      </c>
      <c r="AR102" s="116">
        <f t="shared" si="257"/>
        <v>747434</v>
      </c>
      <c r="AS102" s="3">
        <f t="shared" si="258"/>
        <v>13495</v>
      </c>
      <c r="AT102" s="26">
        <f t="shared" si="259"/>
        <v>453</v>
      </c>
    </row>
    <row r="103" spans="1:46" x14ac:dyDescent="0.15">
      <c r="A103" s="146">
        <v>40634</v>
      </c>
      <c r="B103" s="3">
        <v>3382</v>
      </c>
      <c r="C103" s="115">
        <f t="shared" si="233"/>
        <v>2.7863828104402848E-2</v>
      </c>
      <c r="D103" s="107">
        <v>121376</v>
      </c>
      <c r="E103" s="42">
        <v>712</v>
      </c>
      <c r="F103" s="115">
        <f t="shared" si="234"/>
        <v>0.41710603397773871</v>
      </c>
      <c r="G103" s="40">
        <v>1707</v>
      </c>
      <c r="H103" s="13">
        <v>33</v>
      </c>
      <c r="I103" s="115">
        <f t="shared" si="235"/>
        <v>0.75</v>
      </c>
      <c r="J103" s="13">
        <v>44</v>
      </c>
      <c r="K103" s="195">
        <f t="shared" si="243"/>
        <v>4127</v>
      </c>
      <c r="L103" s="115">
        <f t="shared" si="244"/>
        <v>3.3518237267211905E-2</v>
      </c>
      <c r="M103" s="23">
        <f t="shared" si="245"/>
        <v>123127</v>
      </c>
      <c r="N103" s="64">
        <v>14443</v>
      </c>
      <c r="O103" s="67">
        <f t="shared" ref="O103:O109" si="260">N103/P103</f>
        <v>2.4534260141637235E-2</v>
      </c>
      <c r="P103" s="3">
        <v>588687</v>
      </c>
      <c r="Q103" s="68">
        <v>4380</v>
      </c>
      <c r="R103" s="67">
        <f t="shared" ref="R103:R109" si="261">Q103/S103</f>
        <v>0.37846712174889829</v>
      </c>
      <c r="S103" s="40">
        <v>11573</v>
      </c>
      <c r="T103" s="13">
        <v>328</v>
      </c>
      <c r="U103" s="67">
        <f t="shared" ref="U103:U109" si="262">T103/V103</f>
        <v>0.84536082474226804</v>
      </c>
      <c r="V103" s="26">
        <v>388</v>
      </c>
      <c r="W103" s="63">
        <f t="shared" si="246"/>
        <v>19151</v>
      </c>
      <c r="X103" s="67">
        <f t="shared" si="239"/>
        <v>3.18838987227128E-2</v>
      </c>
      <c r="Y103" s="26">
        <f t="shared" si="247"/>
        <v>600648</v>
      </c>
      <c r="Z103" s="41">
        <v>31</v>
      </c>
      <c r="AA103" s="115">
        <f t="shared" si="240"/>
        <v>8.3192442905831519E-4</v>
      </c>
      <c r="AB103" s="4">
        <v>37263</v>
      </c>
      <c r="AC103" s="78">
        <v>46</v>
      </c>
      <c r="AD103" s="115">
        <f t="shared" si="241"/>
        <v>0.24864864864864866</v>
      </c>
      <c r="AE103" s="43">
        <v>185</v>
      </c>
      <c r="AF103" s="13">
        <v>9</v>
      </c>
      <c r="AG103" s="7">
        <f t="shared" si="242"/>
        <v>0.6</v>
      </c>
      <c r="AH103" s="44">
        <v>15</v>
      </c>
      <c r="AI103" s="41">
        <f t="shared" si="248"/>
        <v>86</v>
      </c>
      <c r="AJ103" s="7">
        <f t="shared" si="249"/>
        <v>2.2955983236793635E-3</v>
      </c>
      <c r="AK103" s="44">
        <f t="shared" si="250"/>
        <v>37463</v>
      </c>
      <c r="AL103" s="117">
        <f t="shared" si="251"/>
        <v>2.3893187176680594E-2</v>
      </c>
      <c r="AM103" s="115">
        <f t="shared" si="252"/>
        <v>0.38158187894541401</v>
      </c>
      <c r="AN103" s="7">
        <f t="shared" si="253"/>
        <v>0.82774049217002232</v>
      </c>
      <c r="AO103" s="171">
        <f t="shared" si="254"/>
        <v>3.0336592833427902E-2</v>
      </c>
      <c r="AP103" s="63">
        <f t="shared" si="255"/>
        <v>23364</v>
      </c>
      <c r="AQ103" s="3">
        <f t="shared" si="256"/>
        <v>770159</v>
      </c>
      <c r="AR103" s="116">
        <f t="shared" si="257"/>
        <v>747326</v>
      </c>
      <c r="AS103" s="3">
        <f t="shared" si="258"/>
        <v>13465</v>
      </c>
      <c r="AT103" s="26">
        <f t="shared" si="259"/>
        <v>447</v>
      </c>
    </row>
    <row r="104" spans="1:46" x14ac:dyDescent="0.15">
      <c r="A104" s="146">
        <v>40603</v>
      </c>
      <c r="B104" s="3">
        <v>3414</v>
      </c>
      <c r="C104" s="115">
        <f t="shared" si="233"/>
        <v>2.8233542838240158E-2</v>
      </c>
      <c r="D104" s="107">
        <v>120920</v>
      </c>
      <c r="E104" s="42">
        <v>719</v>
      </c>
      <c r="F104" s="115">
        <f t="shared" si="234"/>
        <v>0.42951015531660691</v>
      </c>
      <c r="G104" s="40">
        <v>1674</v>
      </c>
      <c r="H104" s="13">
        <v>33</v>
      </c>
      <c r="I104" s="115">
        <f t="shared" si="235"/>
        <v>0.76744186046511631</v>
      </c>
      <c r="J104" s="13">
        <v>43</v>
      </c>
      <c r="K104" s="195">
        <f t="shared" si="243"/>
        <v>4166</v>
      </c>
      <c r="L104" s="115">
        <f t="shared" si="244"/>
        <v>3.3970172134021544E-2</v>
      </c>
      <c r="M104" s="23">
        <f t="shared" si="245"/>
        <v>122637</v>
      </c>
      <c r="N104" s="64">
        <v>14552</v>
      </c>
      <c r="O104" s="67">
        <f t="shared" si="260"/>
        <v>2.472302969244021E-2</v>
      </c>
      <c r="P104" s="3">
        <v>588601</v>
      </c>
      <c r="Q104" s="68">
        <v>4362</v>
      </c>
      <c r="R104" s="67">
        <f t="shared" si="261"/>
        <v>0.37658637658637656</v>
      </c>
      <c r="S104" s="40">
        <v>11583</v>
      </c>
      <c r="T104" s="13">
        <v>326</v>
      </c>
      <c r="U104" s="67">
        <f t="shared" si="262"/>
        <v>0.84455958549222798</v>
      </c>
      <c r="V104" s="26">
        <v>386</v>
      </c>
      <c r="W104" s="63">
        <f t="shared" si="246"/>
        <v>19240</v>
      </c>
      <c r="X104" s="67">
        <f t="shared" ref="X104:X109" si="263">W104/Y104</f>
        <v>3.2036232246032935E-2</v>
      </c>
      <c r="Y104" s="26">
        <f t="shared" si="247"/>
        <v>600570</v>
      </c>
      <c r="Z104" s="41">
        <v>31</v>
      </c>
      <c r="AA104" s="115">
        <f t="shared" si="240"/>
        <v>8.3187977995438081E-4</v>
      </c>
      <c r="AB104" s="4">
        <v>37265</v>
      </c>
      <c r="AC104" s="78">
        <v>46</v>
      </c>
      <c r="AD104" s="115">
        <f t="shared" si="241"/>
        <v>0.25274725274725274</v>
      </c>
      <c r="AE104" s="43">
        <v>182</v>
      </c>
      <c r="AF104" s="13">
        <v>10</v>
      </c>
      <c r="AG104" s="7">
        <f t="shared" si="242"/>
        <v>0.58823529411764708</v>
      </c>
      <c r="AH104" s="44">
        <v>17</v>
      </c>
      <c r="AI104" s="41">
        <f t="shared" si="248"/>
        <v>87</v>
      </c>
      <c r="AJ104" s="7">
        <f t="shared" si="249"/>
        <v>2.3222293401665597E-3</v>
      </c>
      <c r="AK104" s="44">
        <f t="shared" si="250"/>
        <v>37464</v>
      </c>
      <c r="AL104" s="117">
        <f t="shared" si="251"/>
        <v>2.409927341969453E-2</v>
      </c>
      <c r="AM104" s="115">
        <f t="shared" si="252"/>
        <v>0.38150159982141529</v>
      </c>
      <c r="AN104" s="7">
        <f t="shared" si="253"/>
        <v>0.82735426008968604</v>
      </c>
      <c r="AO104" s="171">
        <f t="shared" si="254"/>
        <v>3.0525771427680443E-2</v>
      </c>
      <c r="AP104" s="63">
        <f t="shared" si="255"/>
        <v>23493</v>
      </c>
      <c r="AQ104" s="3">
        <f t="shared" si="256"/>
        <v>769612</v>
      </c>
      <c r="AR104" s="116">
        <f t="shared" si="257"/>
        <v>746786</v>
      </c>
      <c r="AS104" s="3">
        <f t="shared" si="258"/>
        <v>13439</v>
      </c>
      <c r="AT104" s="26">
        <f t="shared" si="259"/>
        <v>446</v>
      </c>
    </row>
    <row r="105" spans="1:46" x14ac:dyDescent="0.15">
      <c r="A105" s="146">
        <v>40575</v>
      </c>
      <c r="B105" s="3">
        <v>3395</v>
      </c>
      <c r="C105" s="115">
        <f t="shared" si="233"/>
        <v>2.810104789180062E-2</v>
      </c>
      <c r="D105" s="107">
        <v>120814</v>
      </c>
      <c r="E105" s="42">
        <v>719</v>
      </c>
      <c r="F105" s="115">
        <f t="shared" si="234"/>
        <v>0.43523002421307505</v>
      </c>
      <c r="G105" s="40">
        <v>1652</v>
      </c>
      <c r="H105" s="13">
        <v>33</v>
      </c>
      <c r="I105" s="115">
        <f t="shared" si="235"/>
        <v>0.7857142857142857</v>
      </c>
      <c r="J105" s="13">
        <v>42</v>
      </c>
      <c r="K105" s="195">
        <f t="shared" si="243"/>
        <v>4147</v>
      </c>
      <c r="L105" s="115">
        <f t="shared" si="244"/>
        <v>3.3850850556698335E-2</v>
      </c>
      <c r="M105" s="23">
        <f t="shared" si="245"/>
        <v>122508</v>
      </c>
      <c r="N105" s="64">
        <v>14509</v>
      </c>
      <c r="O105" s="67">
        <f t="shared" si="260"/>
        <v>2.4653912357881894E-2</v>
      </c>
      <c r="P105" s="3">
        <v>588507</v>
      </c>
      <c r="Q105" s="68">
        <v>4379</v>
      </c>
      <c r="R105" s="67">
        <f t="shared" si="261"/>
        <v>0.37890456000692219</v>
      </c>
      <c r="S105" s="40">
        <v>11557</v>
      </c>
      <c r="T105" s="13">
        <v>322</v>
      </c>
      <c r="U105" s="67">
        <f t="shared" si="262"/>
        <v>0.83854166666666663</v>
      </c>
      <c r="V105" s="26">
        <v>384</v>
      </c>
      <c r="W105" s="63">
        <f t="shared" ref="W105:W110" si="264">+T105+Q105+N105</f>
        <v>19210</v>
      </c>
      <c r="X105" s="67">
        <f t="shared" si="263"/>
        <v>3.1992778725218503E-2</v>
      </c>
      <c r="Y105" s="26">
        <f t="shared" ref="Y105:Y110" si="265">+V105+S105+P105</f>
        <v>600448</v>
      </c>
      <c r="Z105" s="41">
        <v>32</v>
      </c>
      <c r="AA105" s="115">
        <f t="shared" si="240"/>
        <v>8.5887594610553435E-4</v>
      </c>
      <c r="AB105" s="4">
        <v>37258</v>
      </c>
      <c r="AC105" s="78">
        <v>57</v>
      </c>
      <c r="AD105" s="115">
        <f t="shared" si="241"/>
        <v>0.30810810810810813</v>
      </c>
      <c r="AE105" s="43">
        <v>185</v>
      </c>
      <c r="AF105" s="13">
        <v>10</v>
      </c>
      <c r="AG105" s="7">
        <f t="shared" si="242"/>
        <v>0.58823529411764708</v>
      </c>
      <c r="AH105" s="44">
        <v>17</v>
      </c>
      <c r="AI105" s="41">
        <f t="shared" ref="AI105:AI110" si="266">+AF105+AC105+Z105</f>
        <v>99</v>
      </c>
      <c r="AJ105" s="7">
        <f>AI105/AK105</f>
        <v>2.6428190069407369E-3</v>
      </c>
      <c r="AK105" s="44">
        <f t="shared" ref="AK105:AK110" si="267">+AH105+AE105+AB105</f>
        <v>37460</v>
      </c>
      <c r="AL105" s="117">
        <f t="shared" ref="AL105:AL110" si="268">(B105+N105+Z105)/AR105</f>
        <v>2.402424927569621E-2</v>
      </c>
      <c r="AM105" s="115">
        <f t="shared" ref="AM105:AM110" si="269">(E105+Q105+AC105)/AS105</f>
        <v>0.38487382410034343</v>
      </c>
      <c r="AN105" s="7">
        <f t="shared" ref="AN105:AN110" si="270">(H105+T105+AF105)/AT105</f>
        <v>0.82392776523702027</v>
      </c>
      <c r="AO105" s="171">
        <f t="shared" ref="AO105:AO110" si="271">AP105/AQ105</f>
        <v>3.0487559188575482E-2</v>
      </c>
      <c r="AP105" s="63">
        <f t="shared" ref="AP105:AP110" si="272">AF105+AC105+Z105+T105+Q105+N105+H105+E105+B105</f>
        <v>23456</v>
      </c>
      <c r="AQ105" s="3">
        <f t="shared" ref="AQ105:AQ110" si="273">AH105+AF105+AE105+AC105+Z105+AB105+V105+T105+S105+Q105+P105+J105+H105+G105+E105+D105+B105</f>
        <v>769363</v>
      </c>
      <c r="AR105" s="116">
        <f t="shared" ref="AR105:AR110" si="274">+D105+P105+AB105</f>
        <v>746579</v>
      </c>
      <c r="AS105" s="3">
        <f t="shared" ref="AS105:AS110" si="275">G105+S105+AE105</f>
        <v>13394</v>
      </c>
      <c r="AT105" s="26">
        <f t="shared" ref="AT105:AT110" si="276">J105+V105+AH105</f>
        <v>443</v>
      </c>
    </row>
    <row r="106" spans="1:46" x14ac:dyDescent="0.15">
      <c r="A106" s="146">
        <v>40544</v>
      </c>
      <c r="B106" s="3">
        <v>3364</v>
      </c>
      <c r="C106" s="115">
        <f t="shared" si="233"/>
        <v>2.7847912648283513E-2</v>
      </c>
      <c r="D106" s="107">
        <v>120799</v>
      </c>
      <c r="E106" s="42">
        <v>713</v>
      </c>
      <c r="F106" s="115">
        <f t="shared" si="234"/>
        <v>0.43238326258338389</v>
      </c>
      <c r="G106" s="40">
        <v>1649</v>
      </c>
      <c r="H106" s="13">
        <v>33</v>
      </c>
      <c r="I106" s="115">
        <f t="shared" si="235"/>
        <v>0.7857142857142857</v>
      </c>
      <c r="J106" s="13">
        <v>42</v>
      </c>
      <c r="K106" s="195">
        <f t="shared" si="243"/>
        <v>4110</v>
      </c>
      <c r="L106" s="115">
        <f t="shared" si="244"/>
        <v>3.3553759490570656E-2</v>
      </c>
      <c r="M106" s="23">
        <f t="shared" si="245"/>
        <v>122490</v>
      </c>
      <c r="N106" s="64">
        <v>14509</v>
      </c>
      <c r="O106" s="67">
        <f t="shared" si="260"/>
        <v>2.4658940459255558E-2</v>
      </c>
      <c r="P106" s="3">
        <v>588387</v>
      </c>
      <c r="Q106" s="68">
        <v>4349</v>
      </c>
      <c r="R106" s="67">
        <f t="shared" si="261"/>
        <v>0.37614599550250821</v>
      </c>
      <c r="S106" s="40">
        <v>11562</v>
      </c>
      <c r="T106" s="13">
        <v>324</v>
      </c>
      <c r="U106" s="67">
        <f t="shared" si="262"/>
        <v>0.84595300261096606</v>
      </c>
      <c r="V106" s="26">
        <v>383</v>
      </c>
      <c r="W106" s="63">
        <f t="shared" si="264"/>
        <v>19182</v>
      </c>
      <c r="X106" s="67">
        <f t="shared" si="263"/>
        <v>3.195231971642358E-2</v>
      </c>
      <c r="Y106" s="26">
        <f t="shared" si="265"/>
        <v>600332</v>
      </c>
      <c r="Z106" s="41">
        <v>34</v>
      </c>
      <c r="AA106" s="115">
        <f t="shared" si="240"/>
        <v>9.1277618191092373E-4</v>
      </c>
      <c r="AB106" s="4">
        <v>37249</v>
      </c>
      <c r="AC106" s="78">
        <v>49</v>
      </c>
      <c r="AD106" s="115">
        <f t="shared" si="241"/>
        <v>0.28823529411764703</v>
      </c>
      <c r="AE106" s="43">
        <v>170</v>
      </c>
      <c r="AF106" s="13">
        <v>10</v>
      </c>
      <c r="AG106" s="7">
        <f t="shared" si="242"/>
        <v>0.58823529411764708</v>
      </c>
      <c r="AH106" s="44">
        <v>17</v>
      </c>
      <c r="AI106" s="41">
        <f t="shared" si="266"/>
        <v>93</v>
      </c>
      <c r="AJ106" s="7">
        <f>AI106/AK106</f>
        <v>2.4842397692061116E-3</v>
      </c>
      <c r="AK106" s="44">
        <f t="shared" si="267"/>
        <v>37436</v>
      </c>
      <c r="AL106" s="117">
        <f t="shared" si="268"/>
        <v>2.3990032621728618E-2</v>
      </c>
      <c r="AM106" s="115">
        <f t="shared" si="269"/>
        <v>0.38195949480606828</v>
      </c>
      <c r="AN106" s="7">
        <f t="shared" si="270"/>
        <v>0.83031674208144801</v>
      </c>
      <c r="AO106" s="171">
        <f t="shared" si="271"/>
        <v>3.04043248640679E-2</v>
      </c>
      <c r="AP106" s="63">
        <f t="shared" si="272"/>
        <v>23385</v>
      </c>
      <c r="AQ106" s="3">
        <f t="shared" si="273"/>
        <v>769134</v>
      </c>
      <c r="AR106" s="116">
        <f t="shared" si="274"/>
        <v>746435</v>
      </c>
      <c r="AS106" s="3">
        <f t="shared" si="275"/>
        <v>13381</v>
      </c>
      <c r="AT106" s="26">
        <f t="shared" si="276"/>
        <v>442</v>
      </c>
    </row>
    <row r="107" spans="1:46" x14ac:dyDescent="0.15">
      <c r="A107" s="146">
        <v>40513</v>
      </c>
      <c r="B107" s="3">
        <v>3311</v>
      </c>
      <c r="C107" s="115">
        <f t="shared" si="233"/>
        <v>2.7381287110699461E-2</v>
      </c>
      <c r="D107" s="107">
        <v>120922</v>
      </c>
      <c r="E107" s="42">
        <v>699</v>
      </c>
      <c r="F107" s="115">
        <f t="shared" si="234"/>
        <v>0.42595978062157219</v>
      </c>
      <c r="G107" s="40">
        <v>1641</v>
      </c>
      <c r="H107" s="13">
        <v>33</v>
      </c>
      <c r="I107" s="115">
        <f t="shared" si="235"/>
        <v>0.7857142857142857</v>
      </c>
      <c r="J107" s="13">
        <v>42</v>
      </c>
      <c r="K107" s="195">
        <f>+H107+E107+B107</f>
        <v>4043</v>
      </c>
      <c r="L107" s="115">
        <f>K107/M107</f>
        <v>3.2975816646955668E-2</v>
      </c>
      <c r="M107" s="23">
        <f>+J107+G107+D107</f>
        <v>122605</v>
      </c>
      <c r="N107" s="64">
        <v>14108</v>
      </c>
      <c r="O107" s="67">
        <f t="shared" si="260"/>
        <v>2.4010510980707177E-2</v>
      </c>
      <c r="P107" s="3">
        <v>587576</v>
      </c>
      <c r="Q107" s="68">
        <v>4264</v>
      </c>
      <c r="R107" s="67">
        <f t="shared" si="261"/>
        <v>0.37046046915725456</v>
      </c>
      <c r="S107" s="40">
        <v>11510</v>
      </c>
      <c r="T107" s="13">
        <v>302</v>
      </c>
      <c r="U107" s="67">
        <f t="shared" si="262"/>
        <v>0.83656509695290859</v>
      </c>
      <c r="V107" s="26">
        <v>361</v>
      </c>
      <c r="W107" s="63">
        <f t="shared" si="264"/>
        <v>18674</v>
      </c>
      <c r="X107" s="67">
        <f t="shared" si="263"/>
        <v>3.1152045134932697E-2</v>
      </c>
      <c r="Y107" s="26">
        <f t="shared" si="265"/>
        <v>599447</v>
      </c>
      <c r="Z107" s="41">
        <v>34</v>
      </c>
      <c r="AA107" s="115">
        <f>Z107/AB107</f>
        <v>9.1255569273713025E-4</v>
      </c>
      <c r="AB107" s="4">
        <v>37258</v>
      </c>
      <c r="AC107" s="78">
        <v>56</v>
      </c>
      <c r="AD107" s="115">
        <f>AC107/AE107</f>
        <v>0.30939226519337015</v>
      </c>
      <c r="AE107" s="43">
        <v>181</v>
      </c>
      <c r="AF107" s="13">
        <v>10</v>
      </c>
      <c r="AG107" s="7">
        <f>AF107/AH107</f>
        <v>0.58823529411764708</v>
      </c>
      <c r="AH107" s="44">
        <v>17</v>
      </c>
      <c r="AI107" s="41">
        <f t="shared" si="266"/>
        <v>100</v>
      </c>
      <c r="AJ107" s="7">
        <f>AI107/AK107</f>
        <v>2.6697992310978215E-3</v>
      </c>
      <c r="AK107" s="44">
        <f t="shared" si="267"/>
        <v>37456</v>
      </c>
      <c r="AL107" s="117">
        <f t="shared" si="268"/>
        <v>2.3403096991509286E-2</v>
      </c>
      <c r="AM107" s="115">
        <f t="shared" si="269"/>
        <v>0.37646264626462644</v>
      </c>
      <c r="AN107" s="7">
        <f t="shared" si="270"/>
        <v>0.8214285714285714</v>
      </c>
      <c r="AO107" s="171">
        <f t="shared" si="271"/>
        <v>2.9701243268503562E-2</v>
      </c>
      <c r="AP107" s="63">
        <f t="shared" si="272"/>
        <v>22817</v>
      </c>
      <c r="AQ107" s="3">
        <f t="shared" si="273"/>
        <v>768217</v>
      </c>
      <c r="AR107" s="116">
        <f t="shared" si="274"/>
        <v>745756</v>
      </c>
      <c r="AS107" s="3">
        <f t="shared" si="275"/>
        <v>13332</v>
      </c>
      <c r="AT107" s="26">
        <f t="shared" si="276"/>
        <v>420</v>
      </c>
    </row>
    <row r="108" spans="1:46" x14ac:dyDescent="0.15">
      <c r="A108" s="146">
        <v>40483</v>
      </c>
      <c r="B108" s="3">
        <v>3974</v>
      </c>
      <c r="C108" s="115">
        <f t="shared" si="233"/>
        <v>3.2636368115894418E-2</v>
      </c>
      <c r="D108" s="107">
        <v>121766</v>
      </c>
      <c r="E108" s="42">
        <v>692</v>
      </c>
      <c r="F108" s="115">
        <f t="shared" si="234"/>
        <v>0.41586538461538464</v>
      </c>
      <c r="G108" s="40">
        <v>1664</v>
      </c>
      <c r="H108" s="13">
        <v>33</v>
      </c>
      <c r="I108" s="115">
        <f>H108/J108</f>
        <v>0.76744186046511631</v>
      </c>
      <c r="J108" s="13">
        <v>43</v>
      </c>
      <c r="K108" s="195">
        <f>+H108+E108+B108</f>
        <v>4699</v>
      </c>
      <c r="L108" s="115">
        <f>K108/M108</f>
        <v>3.8056903128619216E-2</v>
      </c>
      <c r="M108" s="23">
        <f>+J108+G108+D108</f>
        <v>123473</v>
      </c>
      <c r="N108" s="64">
        <v>14108</v>
      </c>
      <c r="O108" s="67">
        <f t="shared" si="260"/>
        <v>2.4010510980707177E-2</v>
      </c>
      <c r="P108" s="3">
        <v>587576</v>
      </c>
      <c r="Q108" s="68">
        <v>4264</v>
      </c>
      <c r="R108" s="67">
        <f t="shared" si="261"/>
        <v>0.37046046915725456</v>
      </c>
      <c r="S108" s="40">
        <v>11510</v>
      </c>
      <c r="T108" s="13">
        <v>302</v>
      </c>
      <c r="U108" s="67">
        <f t="shared" si="262"/>
        <v>0.83656509695290859</v>
      </c>
      <c r="V108" s="26">
        <v>361</v>
      </c>
      <c r="W108" s="63">
        <f t="shared" si="264"/>
        <v>18674</v>
      </c>
      <c r="X108" s="67">
        <f t="shared" si="263"/>
        <v>3.1152045134932697E-2</v>
      </c>
      <c r="Y108" s="26">
        <f t="shared" si="265"/>
        <v>599447</v>
      </c>
      <c r="Z108" s="41">
        <v>34</v>
      </c>
      <c r="AA108" s="115">
        <f>Z108/AB108</f>
        <v>9.1231082966620157E-4</v>
      </c>
      <c r="AB108" s="4">
        <v>37268</v>
      </c>
      <c r="AC108" s="78">
        <v>56</v>
      </c>
      <c r="AD108" s="115">
        <f>AC108/AE108</f>
        <v>0.30107526881720431</v>
      </c>
      <c r="AE108" s="43">
        <v>186</v>
      </c>
      <c r="AF108" s="13">
        <v>10</v>
      </c>
      <c r="AG108" s="7">
        <f>AF108/AH108</f>
        <v>0.58823529411764708</v>
      </c>
      <c r="AH108" s="44">
        <v>17</v>
      </c>
      <c r="AI108" s="41">
        <f t="shared" si="266"/>
        <v>100</v>
      </c>
      <c r="AJ108" s="7">
        <f>AI108/AK108</f>
        <v>2.668730484908329E-3</v>
      </c>
      <c r="AK108" s="44">
        <f t="shared" si="267"/>
        <v>37471</v>
      </c>
      <c r="AL108" s="117">
        <f t="shared" si="268"/>
        <v>2.426434149020238E-2</v>
      </c>
      <c r="AM108" s="115">
        <f t="shared" si="269"/>
        <v>0.37514970059880237</v>
      </c>
      <c r="AN108" s="7">
        <f t="shared" si="270"/>
        <v>0.81947743467933487</v>
      </c>
      <c r="AO108" s="171">
        <f t="shared" si="271"/>
        <v>3.0494078643102489E-2</v>
      </c>
      <c r="AP108" s="63">
        <f t="shared" si="272"/>
        <v>23473</v>
      </c>
      <c r="AQ108" s="3">
        <f t="shared" si="273"/>
        <v>769756</v>
      </c>
      <c r="AR108" s="116">
        <f t="shared" si="274"/>
        <v>746610</v>
      </c>
      <c r="AS108" s="3">
        <f t="shared" si="275"/>
        <v>13360</v>
      </c>
      <c r="AT108" s="26">
        <f t="shared" si="276"/>
        <v>421</v>
      </c>
    </row>
    <row r="109" spans="1:46" x14ac:dyDescent="0.15">
      <c r="A109" s="146">
        <v>40452</v>
      </c>
      <c r="B109" s="3">
        <v>3294</v>
      </c>
      <c r="C109" s="115">
        <f t="shared" si="233"/>
        <v>2.7066779513389594E-2</v>
      </c>
      <c r="D109" s="107">
        <v>121699</v>
      </c>
      <c r="E109" s="42">
        <v>704</v>
      </c>
      <c r="F109" s="115">
        <f>E109/G109</f>
        <v>0.41363102232667448</v>
      </c>
      <c r="G109" s="40">
        <v>1702</v>
      </c>
      <c r="H109" s="13">
        <v>32</v>
      </c>
      <c r="I109" s="115">
        <f>H109/J109</f>
        <v>0.78048780487804881</v>
      </c>
      <c r="J109" s="13">
        <v>41</v>
      </c>
      <c r="K109" s="195">
        <f>+H109+E109+B109</f>
        <v>4030</v>
      </c>
      <c r="L109" s="115">
        <f>K109/M109</f>
        <v>3.2646911099949771E-2</v>
      </c>
      <c r="M109" s="23">
        <f>+J109+G109+D109</f>
        <v>123442</v>
      </c>
      <c r="N109" s="64">
        <v>14144</v>
      </c>
      <c r="O109" s="67">
        <f t="shared" si="260"/>
        <v>2.4090434510092469E-2</v>
      </c>
      <c r="P109" s="3">
        <v>587121</v>
      </c>
      <c r="Q109" s="68">
        <v>4250</v>
      </c>
      <c r="R109" s="67">
        <f t="shared" si="261"/>
        <v>0.37117903930131002</v>
      </c>
      <c r="S109" s="40">
        <v>11450</v>
      </c>
      <c r="T109" s="13">
        <v>302</v>
      </c>
      <c r="U109" s="67">
        <f t="shared" si="262"/>
        <v>0.83425414364640882</v>
      </c>
      <c r="V109" s="26">
        <v>362</v>
      </c>
      <c r="W109" s="63">
        <f t="shared" si="264"/>
        <v>18696</v>
      </c>
      <c r="X109" s="67">
        <f t="shared" si="263"/>
        <v>3.1215511584768246E-2</v>
      </c>
      <c r="Y109" s="26">
        <f t="shared" si="265"/>
        <v>598933</v>
      </c>
      <c r="Z109" s="41">
        <v>31</v>
      </c>
      <c r="AA109" s="115">
        <f>Z109/AB109</f>
        <v>8.3127748578783656E-4</v>
      </c>
      <c r="AB109" s="4">
        <v>37292</v>
      </c>
      <c r="AC109" s="78">
        <v>56</v>
      </c>
      <c r="AD109" s="115">
        <f>AC109/AE109</f>
        <v>0.29319371727748689</v>
      </c>
      <c r="AE109" s="43">
        <v>191</v>
      </c>
      <c r="AF109" s="13">
        <v>10</v>
      </c>
      <c r="AG109" s="7">
        <f>AF109/AH109</f>
        <v>0.58823529411764708</v>
      </c>
      <c r="AH109" s="44">
        <v>17</v>
      </c>
      <c r="AI109" s="41">
        <f t="shared" si="266"/>
        <v>97</v>
      </c>
      <c r="AJ109" s="7">
        <f>AI109/AK109</f>
        <v>2.5866666666666668E-3</v>
      </c>
      <c r="AK109" s="44">
        <f t="shared" si="267"/>
        <v>37500</v>
      </c>
      <c r="AL109" s="117">
        <f t="shared" si="268"/>
        <v>2.3413374935666496E-2</v>
      </c>
      <c r="AM109" s="115">
        <f t="shared" si="269"/>
        <v>0.37547777861050741</v>
      </c>
      <c r="AN109" s="7">
        <f t="shared" si="270"/>
        <v>0.81904761904761902</v>
      </c>
      <c r="AO109" s="171">
        <f t="shared" si="271"/>
        <v>2.9696026564171158E-2</v>
      </c>
      <c r="AP109" s="63">
        <f t="shared" si="272"/>
        <v>22823</v>
      </c>
      <c r="AQ109" s="3">
        <f t="shared" si="273"/>
        <v>768554</v>
      </c>
      <c r="AR109" s="116">
        <f t="shared" si="274"/>
        <v>746112</v>
      </c>
      <c r="AS109" s="3">
        <f t="shared" si="275"/>
        <v>13343</v>
      </c>
      <c r="AT109" s="26">
        <f t="shared" si="276"/>
        <v>420</v>
      </c>
    </row>
    <row r="110" spans="1:46" x14ac:dyDescent="0.15">
      <c r="A110" s="146">
        <v>40422</v>
      </c>
      <c r="B110" s="3">
        <v>3260</v>
      </c>
      <c r="C110" s="115">
        <f t="shared" si="233"/>
        <v>2.6615286645004326E-2</v>
      </c>
      <c r="D110" s="107">
        <v>122486</v>
      </c>
      <c r="E110" s="42">
        <v>698</v>
      </c>
      <c r="F110" s="115">
        <f t="shared" ref="F110:F115" si="277">E110/G110</f>
        <v>0.40699708454810496</v>
      </c>
      <c r="G110" s="40">
        <v>1715</v>
      </c>
      <c r="H110" s="13">
        <v>32</v>
      </c>
      <c r="I110" s="115">
        <f t="shared" ref="I110:I115" si="278">H110/J110</f>
        <v>0.78048780487804881</v>
      </c>
      <c r="J110" s="13">
        <v>41</v>
      </c>
      <c r="K110" s="195">
        <f>+H110+E110+B110</f>
        <v>3990</v>
      </c>
      <c r="L110" s="115">
        <f t="shared" ref="L110:L115" si="279">K110/M110</f>
        <v>3.2114743806442268E-2</v>
      </c>
      <c r="M110" s="23">
        <f>+J110+G110+D110</f>
        <v>124242</v>
      </c>
      <c r="N110" s="64">
        <v>14145</v>
      </c>
      <c r="O110" s="67">
        <f t="shared" ref="O110:O115" si="280">N110/P110</f>
        <v>2.4104002508384001E-2</v>
      </c>
      <c r="P110" s="3">
        <v>586832</v>
      </c>
      <c r="Q110" s="68">
        <v>4220</v>
      </c>
      <c r="R110" s="67">
        <f t="shared" ref="R110:R115" si="281">Q110/S110</f>
        <v>0.37082601054481545</v>
      </c>
      <c r="S110" s="40">
        <v>11380</v>
      </c>
      <c r="T110" s="13">
        <v>298</v>
      </c>
      <c r="U110" s="67">
        <f t="shared" ref="U110:U115" si="282">T110/V110</f>
        <v>0.83240223463687146</v>
      </c>
      <c r="V110" s="26">
        <v>358</v>
      </c>
      <c r="W110" s="63">
        <f t="shared" si="264"/>
        <v>18663</v>
      </c>
      <c r="X110" s="67">
        <f t="shared" ref="X110:X115" si="283">W110/Y110</f>
        <v>3.1179310690478974E-2</v>
      </c>
      <c r="Y110" s="26">
        <f t="shared" si="265"/>
        <v>598570</v>
      </c>
      <c r="Z110" s="41">
        <v>30</v>
      </c>
      <c r="AA110" s="115">
        <f t="shared" ref="AA110:AA115" si="284">Z110/AB110</f>
        <v>8.0493694660584917E-4</v>
      </c>
      <c r="AB110" s="4">
        <v>37270</v>
      </c>
      <c r="AC110" s="78">
        <v>55</v>
      </c>
      <c r="AD110" s="115">
        <f t="shared" ref="AD110:AD115" si="285">AC110/AE110</f>
        <v>0.2879581151832461</v>
      </c>
      <c r="AE110" s="43">
        <v>191</v>
      </c>
      <c r="AF110" s="13">
        <v>9</v>
      </c>
      <c r="AG110" s="7">
        <f t="shared" ref="AG110:AG115" si="286">AF110/AH110</f>
        <v>0.52941176470588236</v>
      </c>
      <c r="AH110" s="44">
        <v>17</v>
      </c>
      <c r="AI110" s="41">
        <f t="shared" si="266"/>
        <v>94</v>
      </c>
      <c r="AJ110" s="7">
        <f t="shared" ref="AJ110:AJ115" si="287">AI110/AK110</f>
        <v>2.5081381076898449E-3</v>
      </c>
      <c r="AK110" s="44">
        <f t="shared" si="267"/>
        <v>37478</v>
      </c>
      <c r="AL110" s="117">
        <f t="shared" si="268"/>
        <v>2.3352906824111827E-2</v>
      </c>
      <c r="AM110" s="115">
        <f t="shared" si="269"/>
        <v>0.37430377841336743</v>
      </c>
      <c r="AN110" s="7">
        <f t="shared" si="270"/>
        <v>0.81490384615384615</v>
      </c>
      <c r="AO110" s="171">
        <f t="shared" si="271"/>
        <v>2.9584128850345691E-2</v>
      </c>
      <c r="AP110" s="63">
        <f t="shared" si="272"/>
        <v>22747</v>
      </c>
      <c r="AQ110" s="3">
        <f t="shared" si="273"/>
        <v>768892</v>
      </c>
      <c r="AR110" s="116">
        <f t="shared" si="274"/>
        <v>746588</v>
      </c>
      <c r="AS110" s="3">
        <f t="shared" si="275"/>
        <v>13286</v>
      </c>
      <c r="AT110" s="26">
        <f t="shared" si="276"/>
        <v>416</v>
      </c>
    </row>
    <row r="111" spans="1:46" x14ac:dyDescent="0.15">
      <c r="A111" s="146">
        <v>40391</v>
      </c>
      <c r="B111" s="3">
        <v>3189</v>
      </c>
      <c r="C111" s="115">
        <f t="shared" si="233"/>
        <v>2.5995516608926024E-2</v>
      </c>
      <c r="D111" s="107">
        <v>122675</v>
      </c>
      <c r="E111" s="42">
        <v>692</v>
      </c>
      <c r="F111" s="115">
        <f t="shared" si="277"/>
        <v>0.40326340326340326</v>
      </c>
      <c r="G111" s="40">
        <v>1716</v>
      </c>
      <c r="H111" s="13">
        <v>32</v>
      </c>
      <c r="I111" s="115">
        <f t="shared" si="278"/>
        <v>0.78048780487804881</v>
      </c>
      <c r="J111" s="13">
        <v>41</v>
      </c>
      <c r="K111" s="195">
        <f t="shared" ref="K111:K116" si="288">+H111+E111+B111</f>
        <v>3913</v>
      </c>
      <c r="L111" s="115">
        <f t="shared" si="279"/>
        <v>3.144689468946895E-2</v>
      </c>
      <c r="M111" s="23">
        <f t="shared" ref="M111:M116" si="289">+J111+G111+D111</f>
        <v>124432</v>
      </c>
      <c r="N111" s="64">
        <v>13660</v>
      </c>
      <c r="O111" s="67">
        <f t="shared" si="280"/>
        <v>2.3292494735316437E-2</v>
      </c>
      <c r="P111" s="3">
        <v>586455</v>
      </c>
      <c r="Q111" s="68">
        <v>4170</v>
      </c>
      <c r="R111" s="67">
        <f t="shared" si="281"/>
        <v>0.36694825765575501</v>
      </c>
      <c r="S111" s="40">
        <v>11364</v>
      </c>
      <c r="T111" s="13">
        <v>301</v>
      </c>
      <c r="U111" s="67">
        <f t="shared" si="282"/>
        <v>0.83149171270718236</v>
      </c>
      <c r="V111" s="26">
        <v>362</v>
      </c>
      <c r="W111" s="63">
        <f t="shared" ref="W111:W116" si="290">+T111+Q111+N111</f>
        <v>18131</v>
      </c>
      <c r="X111" s="67">
        <f t="shared" si="283"/>
        <v>3.0310223828573627E-2</v>
      </c>
      <c r="Y111" s="26">
        <f t="shared" ref="Y111:Y116" si="291">+V111+S111+P111</f>
        <v>598181</v>
      </c>
      <c r="Z111" s="41">
        <v>30</v>
      </c>
      <c r="AA111" s="115">
        <f t="shared" si="284"/>
        <v>8.0493694660584917E-4</v>
      </c>
      <c r="AB111" s="4">
        <v>37270</v>
      </c>
      <c r="AC111" s="78">
        <v>56</v>
      </c>
      <c r="AD111" s="115">
        <f t="shared" si="285"/>
        <v>0.29473684210526313</v>
      </c>
      <c r="AE111" s="43">
        <v>190</v>
      </c>
      <c r="AF111" s="13">
        <v>9</v>
      </c>
      <c r="AG111" s="7">
        <f t="shared" si="286"/>
        <v>0.52941176470588236</v>
      </c>
      <c r="AH111" s="44">
        <v>17</v>
      </c>
      <c r="AI111" s="41">
        <f t="shared" ref="AI111:AI116" si="292">+AF111+AC111+Z111</f>
        <v>95</v>
      </c>
      <c r="AJ111" s="7">
        <f t="shared" si="287"/>
        <v>2.5348880646796704E-3</v>
      </c>
      <c r="AK111" s="44">
        <f t="shared" ref="AK111:AK116" si="293">+AH111+AE111+AB111</f>
        <v>37477</v>
      </c>
      <c r="AL111" s="117">
        <f t="shared" ref="AL111:AL116" si="294">(B111+N111+Z111)/AR111</f>
        <v>2.2613879957127547E-2</v>
      </c>
      <c r="AM111" s="115">
        <f t="shared" ref="AM111:AM116" si="295">(E111+Q111+AC111)/AS111</f>
        <v>0.37061039939713641</v>
      </c>
      <c r="AN111" s="7">
        <f t="shared" ref="AN111:AN116" si="296">(H111+T111+AF111)/AT111</f>
        <v>0.81428571428571428</v>
      </c>
      <c r="AO111" s="171">
        <f t="shared" ref="AO111:AO116" si="297">AP111/AQ111</f>
        <v>2.8805481355610233E-2</v>
      </c>
      <c r="AP111" s="63">
        <f t="shared" ref="AP111:AP116" si="298">AF111+AC111+Z111+T111+Q111+N111+H111+E111+B111</f>
        <v>22139</v>
      </c>
      <c r="AQ111" s="3">
        <f t="shared" ref="AQ111:AQ116" si="299">AH111+AF111+AE111+AC111+Z111+AB111+V111+T111+S111+Q111+P111+J111+H111+G111+E111+D111+B111</f>
        <v>768569</v>
      </c>
      <c r="AR111" s="116">
        <f t="shared" ref="AR111:AR116" si="300">+D111+P111+AB111</f>
        <v>746400</v>
      </c>
      <c r="AS111" s="3">
        <f t="shared" ref="AS111:AS116" si="301">G111+S111+AE111</f>
        <v>13270</v>
      </c>
      <c r="AT111" s="26">
        <f t="shared" ref="AT111:AT116" si="302">J111+V111+AH111</f>
        <v>420</v>
      </c>
    </row>
    <row r="112" spans="1:46" x14ac:dyDescent="0.15">
      <c r="A112" s="146">
        <v>40360</v>
      </c>
      <c r="B112" s="3">
        <v>2898</v>
      </c>
      <c r="C112" s="115">
        <f t="shared" si="233"/>
        <v>2.3647683783629407E-2</v>
      </c>
      <c r="D112" s="107">
        <v>122549</v>
      </c>
      <c r="E112" s="42">
        <v>677</v>
      </c>
      <c r="F112" s="115">
        <f t="shared" si="277"/>
        <v>0.39452214452214451</v>
      </c>
      <c r="G112" s="40">
        <v>1716</v>
      </c>
      <c r="H112" s="13">
        <v>32</v>
      </c>
      <c r="I112" s="115">
        <f t="shared" si="278"/>
        <v>0.78048780487804881</v>
      </c>
      <c r="J112" s="13">
        <v>41</v>
      </c>
      <c r="K112" s="195">
        <f t="shared" si="288"/>
        <v>3607</v>
      </c>
      <c r="L112" s="115">
        <f t="shared" si="279"/>
        <v>2.9017102955609546E-2</v>
      </c>
      <c r="M112" s="23">
        <f t="shared" si="289"/>
        <v>124306</v>
      </c>
      <c r="N112" s="64">
        <v>12811</v>
      </c>
      <c r="O112" s="67">
        <f t="shared" si="280"/>
        <v>2.1847346547587174E-2</v>
      </c>
      <c r="P112" s="3">
        <v>586387</v>
      </c>
      <c r="Q112" s="68">
        <v>4112</v>
      </c>
      <c r="R112" s="67">
        <f t="shared" si="281"/>
        <v>0.36155807614525631</v>
      </c>
      <c r="S112" s="40">
        <v>11373</v>
      </c>
      <c r="T112" s="13">
        <v>301</v>
      </c>
      <c r="U112" s="67">
        <f t="shared" si="282"/>
        <v>0.83611111111111114</v>
      </c>
      <c r="V112" s="26">
        <v>360</v>
      </c>
      <c r="W112" s="63">
        <f t="shared" si="290"/>
        <v>17224</v>
      </c>
      <c r="X112" s="67">
        <f t="shared" si="283"/>
        <v>2.8796896943757106E-2</v>
      </c>
      <c r="Y112" s="26">
        <f t="shared" si="291"/>
        <v>598120</v>
      </c>
      <c r="Z112" s="41">
        <v>30</v>
      </c>
      <c r="AA112" s="115">
        <f t="shared" si="284"/>
        <v>8.0504494834294919E-4</v>
      </c>
      <c r="AB112" s="4">
        <v>37265</v>
      </c>
      <c r="AC112" s="78">
        <v>56</v>
      </c>
      <c r="AD112" s="115">
        <f t="shared" si="285"/>
        <v>0.29473684210526313</v>
      </c>
      <c r="AE112" s="43">
        <v>190</v>
      </c>
      <c r="AF112" s="13">
        <v>9</v>
      </c>
      <c r="AG112" s="7">
        <f t="shared" si="286"/>
        <v>0.52941176470588236</v>
      </c>
      <c r="AH112" s="44">
        <v>17</v>
      </c>
      <c r="AI112" s="41">
        <f t="shared" si="292"/>
        <v>95</v>
      </c>
      <c r="AJ112" s="7">
        <f t="shared" si="287"/>
        <v>2.5352263023057215E-3</v>
      </c>
      <c r="AK112" s="44">
        <f t="shared" si="293"/>
        <v>37472</v>
      </c>
      <c r="AL112" s="117">
        <f t="shared" si="294"/>
        <v>2.1092172216333131E-2</v>
      </c>
      <c r="AM112" s="115">
        <f t="shared" si="295"/>
        <v>0.36486181188342498</v>
      </c>
      <c r="AN112" s="7">
        <f t="shared" si="296"/>
        <v>0.81818181818181823</v>
      </c>
      <c r="AO112" s="171">
        <f t="shared" si="297"/>
        <v>2.7246934622200406E-2</v>
      </c>
      <c r="AP112" s="63">
        <f t="shared" si="298"/>
        <v>20926</v>
      </c>
      <c r="AQ112" s="3">
        <f t="shared" si="299"/>
        <v>768013</v>
      </c>
      <c r="AR112" s="116">
        <f t="shared" si="300"/>
        <v>746201</v>
      </c>
      <c r="AS112" s="3">
        <f t="shared" si="301"/>
        <v>13279</v>
      </c>
      <c r="AT112" s="26">
        <f t="shared" si="302"/>
        <v>418</v>
      </c>
    </row>
    <row r="113" spans="1:46" x14ac:dyDescent="0.15">
      <c r="A113" s="146">
        <v>40330</v>
      </c>
      <c r="B113" s="3">
        <v>2793</v>
      </c>
      <c r="C113" s="115">
        <f t="shared" si="233"/>
        <v>2.2827206303022377E-2</v>
      </c>
      <c r="D113" s="107">
        <v>122354</v>
      </c>
      <c r="E113" s="42">
        <v>653</v>
      </c>
      <c r="F113" s="115">
        <f t="shared" si="277"/>
        <v>0.38053613053613056</v>
      </c>
      <c r="G113" s="40">
        <v>1716</v>
      </c>
      <c r="H113" s="13">
        <v>32</v>
      </c>
      <c r="I113" s="115">
        <f t="shared" si="278"/>
        <v>0.78048780487804881</v>
      </c>
      <c r="J113" s="13">
        <v>41</v>
      </c>
      <c r="K113" s="195">
        <f t="shared" si="288"/>
        <v>3478</v>
      </c>
      <c r="L113" s="115">
        <f t="shared" si="279"/>
        <v>2.8023301721845768E-2</v>
      </c>
      <c r="M113" s="23">
        <f t="shared" si="289"/>
        <v>124111</v>
      </c>
      <c r="N113" s="64">
        <v>12015</v>
      </c>
      <c r="O113" s="67">
        <f t="shared" si="280"/>
        <v>2.0508592613834212E-2</v>
      </c>
      <c r="P113" s="3">
        <v>585852</v>
      </c>
      <c r="Q113" s="68">
        <v>4015</v>
      </c>
      <c r="R113" s="67">
        <f t="shared" si="281"/>
        <v>0.3543376577530668</v>
      </c>
      <c r="S113" s="40">
        <v>11331</v>
      </c>
      <c r="T113" s="13">
        <v>301</v>
      </c>
      <c r="U113" s="67">
        <f t="shared" si="282"/>
        <v>0.83844011142061281</v>
      </c>
      <c r="V113" s="26">
        <v>359</v>
      </c>
      <c r="W113" s="63">
        <f t="shared" si="290"/>
        <v>16331</v>
      </c>
      <c r="X113" s="67">
        <f t="shared" si="283"/>
        <v>2.7330296447781077E-2</v>
      </c>
      <c r="Y113" s="26">
        <f t="shared" si="291"/>
        <v>597542</v>
      </c>
      <c r="Z113" s="41">
        <v>30</v>
      </c>
      <c r="AA113" s="115">
        <f t="shared" si="284"/>
        <v>8.047642040882022E-4</v>
      </c>
      <c r="AB113" s="4">
        <v>37278</v>
      </c>
      <c r="AC113" s="78">
        <v>56</v>
      </c>
      <c r="AD113" s="115">
        <f t="shared" si="285"/>
        <v>0.29473684210526313</v>
      </c>
      <c r="AE113" s="43">
        <v>190</v>
      </c>
      <c r="AF113" s="13">
        <v>9</v>
      </c>
      <c r="AG113" s="7">
        <f t="shared" si="286"/>
        <v>0.52941176470588236</v>
      </c>
      <c r="AH113" s="44">
        <v>17</v>
      </c>
      <c r="AI113" s="41">
        <f t="shared" si="292"/>
        <v>95</v>
      </c>
      <c r="AJ113" s="7">
        <f t="shared" si="287"/>
        <v>2.5343470721621983E-3</v>
      </c>
      <c r="AK113" s="44">
        <f t="shared" si="293"/>
        <v>37485</v>
      </c>
      <c r="AL113" s="117">
        <f t="shared" si="294"/>
        <v>1.9903847701627401E-2</v>
      </c>
      <c r="AM113" s="115">
        <f t="shared" si="295"/>
        <v>0.35687844677797081</v>
      </c>
      <c r="AN113" s="7">
        <f t="shared" si="296"/>
        <v>0.82014388489208634</v>
      </c>
      <c r="AO113" s="171">
        <f t="shared" si="297"/>
        <v>2.5949542845297494E-2</v>
      </c>
      <c r="AP113" s="63">
        <f t="shared" si="298"/>
        <v>19904</v>
      </c>
      <c r="AQ113" s="3">
        <f t="shared" si="299"/>
        <v>767027</v>
      </c>
      <c r="AR113" s="116">
        <f t="shared" si="300"/>
        <v>745484</v>
      </c>
      <c r="AS113" s="3">
        <f t="shared" si="301"/>
        <v>13237</v>
      </c>
      <c r="AT113" s="26">
        <f t="shared" si="302"/>
        <v>417</v>
      </c>
    </row>
    <row r="114" spans="1:46" x14ac:dyDescent="0.15">
      <c r="A114" s="146">
        <v>40299</v>
      </c>
      <c r="B114" s="3">
        <v>2510</v>
      </c>
      <c r="C114" s="115">
        <f t="shared" si="233"/>
        <v>2.0568544058476943E-2</v>
      </c>
      <c r="D114" s="107">
        <v>122031</v>
      </c>
      <c r="E114" s="42">
        <v>640</v>
      </c>
      <c r="F114" s="115">
        <f t="shared" si="277"/>
        <v>0.37274315666860802</v>
      </c>
      <c r="G114" s="40">
        <v>1717</v>
      </c>
      <c r="H114" s="13">
        <v>32</v>
      </c>
      <c r="I114" s="115">
        <f t="shared" si="278"/>
        <v>0.78048780487804881</v>
      </c>
      <c r="J114" s="13">
        <v>41</v>
      </c>
      <c r="K114" s="195">
        <f t="shared" si="288"/>
        <v>3182</v>
      </c>
      <c r="L114" s="115">
        <f t="shared" si="279"/>
        <v>2.5705030333874578E-2</v>
      </c>
      <c r="M114" s="23">
        <f t="shared" si="289"/>
        <v>123789</v>
      </c>
      <c r="N114" s="64">
        <v>12015</v>
      </c>
      <c r="O114" s="67">
        <f t="shared" si="280"/>
        <v>2.0510833270739586E-2</v>
      </c>
      <c r="P114" s="3">
        <v>585788</v>
      </c>
      <c r="Q114" s="68">
        <v>4015</v>
      </c>
      <c r="R114" s="67">
        <f t="shared" si="281"/>
        <v>0.35368217054263568</v>
      </c>
      <c r="S114" s="40">
        <v>11352</v>
      </c>
      <c r="T114" s="13">
        <v>301</v>
      </c>
      <c r="U114" s="67">
        <f t="shared" si="282"/>
        <v>0.83379501385041555</v>
      </c>
      <c r="V114" s="26">
        <v>361</v>
      </c>
      <c r="W114" s="63">
        <f t="shared" si="290"/>
        <v>16331</v>
      </c>
      <c r="X114" s="67">
        <f t="shared" si="283"/>
        <v>2.7332171829001124E-2</v>
      </c>
      <c r="Y114" s="26">
        <f t="shared" si="291"/>
        <v>597501</v>
      </c>
      <c r="Z114" s="41">
        <v>30</v>
      </c>
      <c r="AA114" s="115">
        <f t="shared" si="284"/>
        <v>8.0523942452222458E-4</v>
      </c>
      <c r="AB114" s="4">
        <v>37256</v>
      </c>
      <c r="AC114" s="78">
        <v>53</v>
      </c>
      <c r="AD114" s="115">
        <f t="shared" si="285"/>
        <v>0.28191489361702127</v>
      </c>
      <c r="AE114" s="43">
        <v>188</v>
      </c>
      <c r="AF114" s="13">
        <v>9</v>
      </c>
      <c r="AG114" s="7">
        <f t="shared" si="286"/>
        <v>0.52941176470588236</v>
      </c>
      <c r="AH114" s="44">
        <v>17</v>
      </c>
      <c r="AI114" s="41">
        <f t="shared" si="292"/>
        <v>92</v>
      </c>
      <c r="AJ114" s="7">
        <f t="shared" si="287"/>
        <v>2.4558874562878729E-3</v>
      </c>
      <c r="AK114" s="44">
        <f t="shared" si="293"/>
        <v>37461</v>
      </c>
      <c r="AL114" s="117">
        <f t="shared" si="294"/>
        <v>1.9534946146361105E-2</v>
      </c>
      <c r="AM114" s="115">
        <f t="shared" si="295"/>
        <v>0.3551331372105303</v>
      </c>
      <c r="AN114" s="7">
        <f t="shared" si="296"/>
        <v>0.81622911694510736</v>
      </c>
      <c r="AO114" s="171">
        <f t="shared" si="297"/>
        <v>2.5582606176623723E-2</v>
      </c>
      <c r="AP114" s="63">
        <f t="shared" si="298"/>
        <v>19605</v>
      </c>
      <c r="AQ114" s="3">
        <f t="shared" si="299"/>
        <v>766341</v>
      </c>
      <c r="AR114" s="116">
        <f t="shared" si="300"/>
        <v>745075</v>
      </c>
      <c r="AS114" s="3">
        <f t="shared" si="301"/>
        <v>13257</v>
      </c>
      <c r="AT114" s="26">
        <f t="shared" si="302"/>
        <v>419</v>
      </c>
    </row>
    <row r="115" spans="1:46" x14ac:dyDescent="0.15">
      <c r="A115" s="146">
        <v>40269</v>
      </c>
      <c r="B115" s="3">
        <v>2136</v>
      </c>
      <c r="C115" s="115">
        <f>B115/D115</f>
        <v>1.7724081849411686E-2</v>
      </c>
      <c r="D115" s="107">
        <v>120514</v>
      </c>
      <c r="E115" s="42">
        <v>592</v>
      </c>
      <c r="F115" s="115">
        <f t="shared" si="277"/>
        <v>0.35619735258724428</v>
      </c>
      <c r="G115" s="40">
        <v>1662</v>
      </c>
      <c r="H115" s="13">
        <v>31</v>
      </c>
      <c r="I115" s="115">
        <f t="shared" si="278"/>
        <v>0.73809523809523814</v>
      </c>
      <c r="J115" s="13">
        <v>42</v>
      </c>
      <c r="K115" s="195">
        <f t="shared" si="288"/>
        <v>2759</v>
      </c>
      <c r="L115" s="115">
        <f t="shared" si="279"/>
        <v>2.2574416207105336E-2</v>
      </c>
      <c r="M115" s="23">
        <f t="shared" si="289"/>
        <v>122218</v>
      </c>
      <c r="N115" s="64">
        <v>11374</v>
      </c>
      <c r="O115" s="67">
        <f t="shared" si="280"/>
        <v>1.9387984699617489E-2</v>
      </c>
      <c r="P115" s="3">
        <v>586652</v>
      </c>
      <c r="Q115" s="68">
        <v>3889</v>
      </c>
      <c r="R115" s="67">
        <f t="shared" si="281"/>
        <v>0.34492239467849223</v>
      </c>
      <c r="S115" s="40">
        <v>11275</v>
      </c>
      <c r="T115" s="13">
        <v>301</v>
      </c>
      <c r="U115" s="67">
        <f t="shared" si="282"/>
        <v>0.83149171270718236</v>
      </c>
      <c r="V115" s="26">
        <v>362</v>
      </c>
      <c r="W115" s="63">
        <f t="shared" si="290"/>
        <v>15564</v>
      </c>
      <c r="X115" s="67">
        <f t="shared" si="283"/>
        <v>2.6014183780748101E-2</v>
      </c>
      <c r="Y115" s="26">
        <f t="shared" si="291"/>
        <v>598289</v>
      </c>
      <c r="Z115" s="41">
        <v>28</v>
      </c>
      <c r="AA115" s="115">
        <f t="shared" si="284"/>
        <v>7.5317409081127604E-4</v>
      </c>
      <c r="AB115" s="4">
        <v>37176</v>
      </c>
      <c r="AC115" s="78">
        <v>54</v>
      </c>
      <c r="AD115" s="115">
        <f t="shared" si="285"/>
        <v>0.29189189189189191</v>
      </c>
      <c r="AE115" s="43">
        <v>185</v>
      </c>
      <c r="AF115" s="13">
        <v>9</v>
      </c>
      <c r="AG115" s="7">
        <f t="shared" si="286"/>
        <v>0.52941176470588236</v>
      </c>
      <c r="AH115" s="44">
        <v>17</v>
      </c>
      <c r="AI115" s="41">
        <f t="shared" si="292"/>
        <v>91</v>
      </c>
      <c r="AJ115" s="7">
        <f t="shared" si="287"/>
        <v>2.4345871903258603E-3</v>
      </c>
      <c r="AK115" s="44">
        <f t="shared" si="293"/>
        <v>37378</v>
      </c>
      <c r="AL115" s="117">
        <f t="shared" si="294"/>
        <v>1.8187876003235071E-2</v>
      </c>
      <c r="AM115" s="115">
        <f t="shared" si="295"/>
        <v>0.34560280445054109</v>
      </c>
      <c r="AN115" s="7">
        <f t="shared" si="296"/>
        <v>0.80997624703087889</v>
      </c>
      <c r="AO115" s="171">
        <f t="shared" si="297"/>
        <v>2.4072948328267476E-2</v>
      </c>
      <c r="AP115" s="63">
        <f t="shared" si="298"/>
        <v>18414</v>
      </c>
      <c r="AQ115" s="3">
        <f t="shared" si="299"/>
        <v>764925</v>
      </c>
      <c r="AR115" s="116">
        <f t="shared" si="300"/>
        <v>744342</v>
      </c>
      <c r="AS115" s="3">
        <f t="shared" si="301"/>
        <v>13122</v>
      </c>
      <c r="AT115" s="26">
        <f t="shared" si="302"/>
        <v>421</v>
      </c>
    </row>
    <row r="116" spans="1:46" x14ac:dyDescent="0.15">
      <c r="A116" s="146">
        <v>40238</v>
      </c>
      <c r="B116" s="3">
        <v>2136</v>
      </c>
      <c r="C116" s="115">
        <f t="shared" ref="C116:C121" si="303">B116/D116</f>
        <v>1.7724081849411686E-2</v>
      </c>
      <c r="D116" s="107">
        <v>120514</v>
      </c>
      <c r="E116" s="42">
        <v>592</v>
      </c>
      <c r="F116" s="115">
        <f t="shared" ref="F116:F121" si="304">E116/G116</f>
        <v>0.35619735258724428</v>
      </c>
      <c r="G116" s="40">
        <v>1662</v>
      </c>
      <c r="H116" s="13">
        <v>31</v>
      </c>
      <c r="I116" s="115">
        <f t="shared" ref="I116:I121" si="305">H116/J116</f>
        <v>0.73809523809523814</v>
      </c>
      <c r="J116" s="13">
        <v>42</v>
      </c>
      <c r="K116" s="195">
        <f t="shared" si="288"/>
        <v>2759</v>
      </c>
      <c r="L116" s="115">
        <f t="shared" ref="L116:L121" si="306">K116/M116</f>
        <v>2.2574416207105336E-2</v>
      </c>
      <c r="M116" s="23">
        <f t="shared" si="289"/>
        <v>122218</v>
      </c>
      <c r="N116" s="64">
        <v>11240</v>
      </c>
      <c r="O116" s="67">
        <f t="shared" ref="O116:O121" si="307">N116/P116</f>
        <v>1.9158035040114266E-2</v>
      </c>
      <c r="P116" s="3">
        <v>586699</v>
      </c>
      <c r="Q116" s="68">
        <v>3744</v>
      </c>
      <c r="R116" s="67">
        <f t="shared" ref="R116:R121" si="308">Q116/S116</f>
        <v>0.34414927842632592</v>
      </c>
      <c r="S116" s="40">
        <v>10879</v>
      </c>
      <c r="T116" s="13">
        <v>301</v>
      </c>
      <c r="U116" s="67">
        <f t="shared" ref="U116:U121" si="309">T116/V116</f>
        <v>0.83611111111111114</v>
      </c>
      <c r="V116" s="26">
        <v>360</v>
      </c>
      <c r="W116" s="63">
        <f t="shared" si="290"/>
        <v>15285</v>
      </c>
      <c r="X116" s="67">
        <f t="shared" ref="X116:X121" si="310">W116/Y116</f>
        <v>2.556285099792955E-2</v>
      </c>
      <c r="Y116" s="26">
        <f t="shared" si="291"/>
        <v>597938</v>
      </c>
      <c r="Z116" s="41">
        <v>28</v>
      </c>
      <c r="AA116" s="115">
        <f t="shared" ref="AA116:AA121" si="311">Z116/AB116</f>
        <v>7.5317409081127604E-4</v>
      </c>
      <c r="AB116" s="4">
        <v>37176</v>
      </c>
      <c r="AC116" s="78">
        <v>54</v>
      </c>
      <c r="AD116" s="115">
        <f t="shared" ref="AD116:AD121" si="312">AC116/AE116</f>
        <v>0.29189189189189191</v>
      </c>
      <c r="AE116" s="43">
        <v>185</v>
      </c>
      <c r="AF116" s="13">
        <v>9</v>
      </c>
      <c r="AG116" s="7">
        <f t="shared" ref="AG116:AG121" si="313">AF116/AH116</f>
        <v>0.52941176470588236</v>
      </c>
      <c r="AH116" s="44">
        <v>17</v>
      </c>
      <c r="AI116" s="41">
        <f t="shared" si="292"/>
        <v>91</v>
      </c>
      <c r="AJ116" s="7">
        <f t="shared" ref="AJ116:AJ121" si="314">AI116/AK116</f>
        <v>2.4345871903258603E-3</v>
      </c>
      <c r="AK116" s="44">
        <f t="shared" si="293"/>
        <v>37378</v>
      </c>
      <c r="AL116" s="117">
        <f t="shared" si="294"/>
        <v>1.8006714231403206E-2</v>
      </c>
      <c r="AM116" s="115">
        <f t="shared" si="295"/>
        <v>0.34496306773534496</v>
      </c>
      <c r="AN116" s="7">
        <f t="shared" si="296"/>
        <v>0.81384248210023868</v>
      </c>
      <c r="AO116" s="171">
        <f t="shared" si="297"/>
        <v>2.3723589764386228E-2</v>
      </c>
      <c r="AP116" s="63">
        <f t="shared" si="298"/>
        <v>18135</v>
      </c>
      <c r="AQ116" s="3">
        <f t="shared" si="299"/>
        <v>764429</v>
      </c>
      <c r="AR116" s="116">
        <f t="shared" si="300"/>
        <v>744389</v>
      </c>
      <c r="AS116" s="3">
        <f t="shared" si="301"/>
        <v>12726</v>
      </c>
      <c r="AT116" s="26">
        <f t="shared" si="302"/>
        <v>419</v>
      </c>
    </row>
    <row r="117" spans="1:46" x14ac:dyDescent="0.15">
      <c r="A117" s="146">
        <v>40210</v>
      </c>
      <c r="B117" s="3">
        <v>2020</v>
      </c>
      <c r="C117" s="115">
        <f t="shared" si="303"/>
        <v>1.6788982438059461E-2</v>
      </c>
      <c r="D117" s="107">
        <v>120317</v>
      </c>
      <c r="E117" s="42">
        <v>582</v>
      </c>
      <c r="F117" s="115">
        <f t="shared" si="304"/>
        <v>0.3546617915904936</v>
      </c>
      <c r="G117" s="40">
        <v>1641</v>
      </c>
      <c r="H117" s="13">
        <v>32</v>
      </c>
      <c r="I117" s="115">
        <f t="shared" si="305"/>
        <v>0.7441860465116279</v>
      </c>
      <c r="J117" s="13">
        <v>43</v>
      </c>
      <c r="K117" s="195">
        <f t="shared" ref="K117:K122" si="315">+H117+E117+B117</f>
        <v>2634</v>
      </c>
      <c r="L117" s="115">
        <f t="shared" si="306"/>
        <v>2.1589986967319941E-2</v>
      </c>
      <c r="M117" s="23">
        <f t="shared" ref="M117:M122" si="316">+J117+G117+D117</f>
        <v>122001</v>
      </c>
      <c r="N117" s="64">
        <v>10993</v>
      </c>
      <c r="O117" s="67">
        <f t="shared" si="307"/>
        <v>1.8740133855663636E-2</v>
      </c>
      <c r="P117" s="3">
        <v>586602</v>
      </c>
      <c r="Q117" s="68">
        <v>3732</v>
      </c>
      <c r="R117" s="67">
        <f t="shared" si="308"/>
        <v>0.34304623586726724</v>
      </c>
      <c r="S117" s="40">
        <v>10879</v>
      </c>
      <c r="T117" s="13">
        <v>300</v>
      </c>
      <c r="U117" s="67">
        <f t="shared" si="309"/>
        <v>0.83102493074792239</v>
      </c>
      <c r="V117" s="26">
        <v>361</v>
      </c>
      <c r="W117" s="63">
        <f t="shared" ref="W117:W122" si="317">+T117+Q117+N117</f>
        <v>15025</v>
      </c>
      <c r="X117" s="67">
        <f t="shared" si="310"/>
        <v>2.5132058303029899E-2</v>
      </c>
      <c r="Y117" s="26">
        <f t="shared" ref="Y117:Y122" si="318">+V117+S117+P117</f>
        <v>597842</v>
      </c>
      <c r="Z117" s="41">
        <v>28</v>
      </c>
      <c r="AA117" s="115">
        <f t="shared" si="311"/>
        <v>7.5272864132480243E-4</v>
      </c>
      <c r="AB117" s="4">
        <v>37198</v>
      </c>
      <c r="AC117" s="78">
        <v>56</v>
      </c>
      <c r="AD117" s="115">
        <f t="shared" si="312"/>
        <v>0.2978723404255319</v>
      </c>
      <c r="AE117" s="43">
        <v>188</v>
      </c>
      <c r="AF117" s="13">
        <v>9</v>
      </c>
      <c r="AG117" s="7">
        <f t="shared" si="313"/>
        <v>0.52941176470588236</v>
      </c>
      <c r="AH117" s="44">
        <v>17</v>
      </c>
      <c r="AI117" s="41">
        <f t="shared" ref="AI117:AI122" si="319">+AF117+AC117+Z117</f>
        <v>93</v>
      </c>
      <c r="AJ117" s="7">
        <f t="shared" si="314"/>
        <v>2.4864315696601878E-3</v>
      </c>
      <c r="AK117" s="44">
        <f t="shared" ref="AK117:AK122" si="320">+AH117+AE117+AB117</f>
        <v>37403</v>
      </c>
      <c r="AL117" s="117">
        <f t="shared" ref="AL117:AL122" si="321">(B117+N117+Z117)/AR117</f>
        <v>1.7525469784993489E-2</v>
      </c>
      <c r="AM117" s="115">
        <f t="shared" ref="AM117:AM122" si="322">(E117+Q117+AC117)/AS117</f>
        <v>0.34387787220648408</v>
      </c>
      <c r="AN117" s="7">
        <f t="shared" ref="AN117:AN122" si="323">(H117+T117+AF117)/AT117</f>
        <v>0.80997624703087889</v>
      </c>
      <c r="AO117" s="171">
        <f t="shared" ref="AO117:AO122" si="324">AP117/AQ117</f>
        <v>2.3235450029777293E-2</v>
      </c>
      <c r="AP117" s="63">
        <f t="shared" ref="AP117:AP122" si="325">AF117+AC117+Z117+T117+Q117+N117+H117+E117+B117</f>
        <v>17752</v>
      </c>
      <c r="AQ117" s="3">
        <f t="shared" ref="AQ117:AQ122" si="326">AH117+AF117+AE117+AC117+Z117+AB117+V117+T117+S117+Q117+P117+J117+H117+G117+E117+D117+B117</f>
        <v>764005</v>
      </c>
      <c r="AR117" s="116">
        <f t="shared" ref="AR117:AR122" si="327">+D117+P117+AB117</f>
        <v>744117</v>
      </c>
      <c r="AS117" s="3">
        <f t="shared" ref="AS117:AS122" si="328">G117+S117+AE117</f>
        <v>12708</v>
      </c>
      <c r="AT117" s="26">
        <f t="shared" ref="AT117:AT122" si="329">J117+V117+AH117</f>
        <v>421</v>
      </c>
    </row>
    <row r="118" spans="1:46" x14ac:dyDescent="0.15">
      <c r="A118" s="146">
        <v>40179</v>
      </c>
      <c r="B118" s="3">
        <v>2180</v>
      </c>
      <c r="C118" s="115">
        <f t="shared" si="303"/>
        <v>1.7999570652443151E-2</v>
      </c>
      <c r="D118" s="107">
        <v>121114</v>
      </c>
      <c r="E118" s="42">
        <v>604</v>
      </c>
      <c r="F118" s="115">
        <f t="shared" si="304"/>
        <v>0.35529411764705882</v>
      </c>
      <c r="G118" s="40">
        <v>1700</v>
      </c>
      <c r="H118" s="13">
        <v>31</v>
      </c>
      <c r="I118" s="115">
        <f t="shared" si="305"/>
        <v>0.75609756097560976</v>
      </c>
      <c r="J118" s="13">
        <v>41</v>
      </c>
      <c r="K118" s="195">
        <f t="shared" si="315"/>
        <v>2815</v>
      </c>
      <c r="L118" s="115">
        <f t="shared" si="306"/>
        <v>2.2913190346343249E-2</v>
      </c>
      <c r="M118" s="23">
        <f t="shared" si="316"/>
        <v>122855</v>
      </c>
      <c r="N118" s="64">
        <v>10877</v>
      </c>
      <c r="O118" s="67">
        <f t="shared" si="307"/>
        <v>1.8552442161136922E-2</v>
      </c>
      <c r="P118" s="3">
        <v>586284</v>
      </c>
      <c r="Q118" s="68">
        <v>3720</v>
      </c>
      <c r="R118" s="67">
        <f t="shared" si="308"/>
        <v>0.34131571703826041</v>
      </c>
      <c r="S118" s="40">
        <v>10899</v>
      </c>
      <c r="T118" s="13">
        <v>300</v>
      </c>
      <c r="U118" s="67">
        <f t="shared" si="309"/>
        <v>0.82644628099173556</v>
      </c>
      <c r="V118" s="26">
        <v>363</v>
      </c>
      <c r="W118" s="63">
        <f t="shared" si="317"/>
        <v>14897</v>
      </c>
      <c r="X118" s="67">
        <f t="shared" si="310"/>
        <v>2.4930298253188876E-2</v>
      </c>
      <c r="Y118" s="26">
        <f t="shared" si="318"/>
        <v>597546</v>
      </c>
      <c r="Z118" s="41">
        <v>30</v>
      </c>
      <c r="AA118" s="115">
        <f t="shared" si="311"/>
        <v>8.0684202033241891E-4</v>
      </c>
      <c r="AB118" s="4">
        <v>37182</v>
      </c>
      <c r="AC118" s="78">
        <v>53</v>
      </c>
      <c r="AD118" s="115">
        <f t="shared" si="312"/>
        <v>0.28191489361702127</v>
      </c>
      <c r="AE118" s="43">
        <v>188</v>
      </c>
      <c r="AF118" s="13">
        <v>9</v>
      </c>
      <c r="AG118" s="7">
        <f t="shared" si="313"/>
        <v>0.52941176470588236</v>
      </c>
      <c r="AH118" s="44">
        <v>17</v>
      </c>
      <c r="AI118" s="41">
        <f t="shared" si="319"/>
        <v>92</v>
      </c>
      <c r="AJ118" s="7">
        <f t="shared" si="314"/>
        <v>2.4607483884772781E-3</v>
      </c>
      <c r="AK118" s="44">
        <f t="shared" si="320"/>
        <v>37387</v>
      </c>
      <c r="AL118" s="117">
        <f t="shared" si="321"/>
        <v>1.7576351768782399E-2</v>
      </c>
      <c r="AM118" s="115">
        <f t="shared" si="322"/>
        <v>0.34230077422382105</v>
      </c>
      <c r="AN118" s="7">
        <f t="shared" si="323"/>
        <v>0.80760095011876487</v>
      </c>
      <c r="AO118" s="171">
        <f t="shared" si="324"/>
        <v>2.3281876254552348E-2</v>
      </c>
      <c r="AP118" s="63">
        <f t="shared" si="325"/>
        <v>17804</v>
      </c>
      <c r="AQ118" s="3">
        <f t="shared" si="326"/>
        <v>764715</v>
      </c>
      <c r="AR118" s="116">
        <f t="shared" si="327"/>
        <v>744580</v>
      </c>
      <c r="AS118" s="3">
        <f t="shared" si="328"/>
        <v>12787</v>
      </c>
      <c r="AT118" s="26">
        <f t="shared" si="329"/>
        <v>421</v>
      </c>
    </row>
    <row r="119" spans="1:46" x14ac:dyDescent="0.15">
      <c r="A119" s="146">
        <v>40148</v>
      </c>
      <c r="B119" s="3">
        <v>1684</v>
      </c>
      <c r="C119" s="115">
        <f t="shared" si="303"/>
        <v>1.3995429046332849E-2</v>
      </c>
      <c r="D119" s="107">
        <v>120325</v>
      </c>
      <c r="E119" s="42">
        <v>442</v>
      </c>
      <c r="F119" s="115">
        <f t="shared" si="304"/>
        <v>0.28907782864617398</v>
      </c>
      <c r="G119" s="40">
        <v>1529</v>
      </c>
      <c r="H119" s="13">
        <v>33</v>
      </c>
      <c r="I119" s="115">
        <f t="shared" si="305"/>
        <v>0.7857142857142857</v>
      </c>
      <c r="J119" s="13">
        <v>42</v>
      </c>
      <c r="K119" s="195">
        <f t="shared" si="315"/>
        <v>2159</v>
      </c>
      <c r="L119" s="115">
        <f t="shared" si="306"/>
        <v>1.7711819912056181E-2</v>
      </c>
      <c r="M119" s="23">
        <f t="shared" si="316"/>
        <v>121896</v>
      </c>
      <c r="N119" s="64">
        <v>7404</v>
      </c>
      <c r="O119" s="67">
        <f t="shared" si="307"/>
        <v>1.2635782611292676E-2</v>
      </c>
      <c r="P119" s="3">
        <v>585955</v>
      </c>
      <c r="Q119" s="68">
        <v>3642</v>
      </c>
      <c r="R119" s="67">
        <f t="shared" si="308"/>
        <v>0.33348594451057595</v>
      </c>
      <c r="S119" s="40">
        <v>10921</v>
      </c>
      <c r="T119" s="13">
        <v>296</v>
      </c>
      <c r="U119" s="67">
        <f t="shared" si="309"/>
        <v>0.82222222222222219</v>
      </c>
      <c r="V119" s="26">
        <v>360</v>
      </c>
      <c r="W119" s="63">
        <f t="shared" si="317"/>
        <v>11342</v>
      </c>
      <c r="X119" s="67">
        <f t="shared" si="310"/>
        <v>1.8990817700205612E-2</v>
      </c>
      <c r="Y119" s="26">
        <f t="shared" si="318"/>
        <v>597236</v>
      </c>
      <c r="Z119" s="41">
        <v>28</v>
      </c>
      <c r="AA119" s="115">
        <f t="shared" si="311"/>
        <v>7.5272864132480243E-4</v>
      </c>
      <c r="AB119" s="4">
        <v>37198</v>
      </c>
      <c r="AC119" s="78">
        <v>56</v>
      </c>
      <c r="AD119" s="115">
        <f t="shared" si="312"/>
        <v>0.2978723404255319</v>
      </c>
      <c r="AE119" s="43">
        <v>188</v>
      </c>
      <c r="AF119" s="13">
        <v>9</v>
      </c>
      <c r="AG119" s="7">
        <f t="shared" si="313"/>
        <v>0.52941176470588236</v>
      </c>
      <c r="AH119" s="44">
        <v>17</v>
      </c>
      <c r="AI119" s="41">
        <f t="shared" si="319"/>
        <v>93</v>
      </c>
      <c r="AJ119" s="7">
        <f t="shared" si="314"/>
        <v>2.4864315696601878E-3</v>
      </c>
      <c r="AK119" s="44">
        <f t="shared" si="320"/>
        <v>37403</v>
      </c>
      <c r="AL119" s="117">
        <f t="shared" si="321"/>
        <v>1.2261290851914918E-2</v>
      </c>
      <c r="AM119" s="115">
        <f t="shared" si="322"/>
        <v>0.32758347839848079</v>
      </c>
      <c r="AN119" s="7">
        <f t="shared" si="323"/>
        <v>0.80668257756563244</v>
      </c>
      <c r="AO119" s="171">
        <f t="shared" si="324"/>
        <v>1.7822937493854274E-2</v>
      </c>
      <c r="AP119" s="63">
        <f t="shared" si="325"/>
        <v>13594</v>
      </c>
      <c r="AQ119" s="3">
        <f t="shared" si="326"/>
        <v>762725</v>
      </c>
      <c r="AR119" s="116">
        <f t="shared" si="327"/>
        <v>743478</v>
      </c>
      <c r="AS119" s="3">
        <f t="shared" si="328"/>
        <v>12638</v>
      </c>
      <c r="AT119" s="26">
        <f t="shared" si="329"/>
        <v>419</v>
      </c>
    </row>
    <row r="120" spans="1:46" x14ac:dyDescent="0.15">
      <c r="A120" s="146">
        <v>40118</v>
      </c>
      <c r="B120" s="3">
        <v>1183</v>
      </c>
      <c r="C120" s="115">
        <f t="shared" si="303"/>
        <v>9.8292551202692029E-3</v>
      </c>
      <c r="D120" s="107">
        <v>120355</v>
      </c>
      <c r="E120" s="42">
        <v>524</v>
      </c>
      <c r="F120" s="115">
        <f t="shared" si="304"/>
        <v>0.31699939503932245</v>
      </c>
      <c r="G120" s="40">
        <v>1653</v>
      </c>
      <c r="H120" s="13">
        <v>35</v>
      </c>
      <c r="I120" s="115">
        <f t="shared" si="305"/>
        <v>0.81395348837209303</v>
      </c>
      <c r="J120" s="13">
        <v>43</v>
      </c>
      <c r="K120" s="195">
        <f t="shared" si="315"/>
        <v>1742</v>
      </c>
      <c r="L120" s="115">
        <f t="shared" si="306"/>
        <v>1.427272205881148E-2</v>
      </c>
      <c r="M120" s="23">
        <f t="shared" si="316"/>
        <v>122051</v>
      </c>
      <c r="N120" s="64">
        <v>5109</v>
      </c>
      <c r="O120" s="67">
        <f t="shared" si="307"/>
        <v>8.7291254472203136E-3</v>
      </c>
      <c r="P120" s="3">
        <v>585282</v>
      </c>
      <c r="Q120" s="68">
        <v>3569</v>
      </c>
      <c r="R120" s="67">
        <f t="shared" si="308"/>
        <v>0.32641302359612218</v>
      </c>
      <c r="S120" s="40">
        <v>10934</v>
      </c>
      <c r="T120" s="13">
        <v>301</v>
      </c>
      <c r="U120" s="67">
        <f t="shared" si="309"/>
        <v>0.8246575342465754</v>
      </c>
      <c r="V120" s="26">
        <v>365</v>
      </c>
      <c r="W120" s="63">
        <f t="shared" si="317"/>
        <v>8979</v>
      </c>
      <c r="X120" s="67">
        <f t="shared" si="310"/>
        <v>1.5050764271741809E-2</v>
      </c>
      <c r="Y120" s="26">
        <f t="shared" si="318"/>
        <v>596581</v>
      </c>
      <c r="Z120" s="41">
        <v>27</v>
      </c>
      <c r="AA120" s="115">
        <f t="shared" si="311"/>
        <v>7.2600161333691857E-4</v>
      </c>
      <c r="AB120" s="4">
        <v>37190</v>
      </c>
      <c r="AC120" s="78">
        <v>56</v>
      </c>
      <c r="AD120" s="115">
        <f t="shared" si="312"/>
        <v>0.29473684210526313</v>
      </c>
      <c r="AE120" s="43">
        <v>190</v>
      </c>
      <c r="AF120" s="13">
        <v>9</v>
      </c>
      <c r="AG120" s="7">
        <f t="shared" si="313"/>
        <v>0.52941176470588236</v>
      </c>
      <c r="AH120" s="44">
        <v>17</v>
      </c>
      <c r="AI120" s="41">
        <f t="shared" si="319"/>
        <v>92</v>
      </c>
      <c r="AJ120" s="7">
        <f t="shared" si="314"/>
        <v>2.4600903815814104E-3</v>
      </c>
      <c r="AK120" s="44">
        <f t="shared" si="320"/>
        <v>37397</v>
      </c>
      <c r="AL120" s="117">
        <f t="shared" si="321"/>
        <v>8.506691329205859E-3</v>
      </c>
      <c r="AM120" s="115">
        <f t="shared" si="322"/>
        <v>0.32472411364169995</v>
      </c>
      <c r="AN120" s="7">
        <f t="shared" si="323"/>
        <v>0.81176470588235294</v>
      </c>
      <c r="AO120" s="171">
        <f t="shared" si="324"/>
        <v>1.4195262644522425E-2</v>
      </c>
      <c r="AP120" s="63">
        <f t="shared" si="325"/>
        <v>10813</v>
      </c>
      <c r="AQ120" s="3">
        <f t="shared" si="326"/>
        <v>761733</v>
      </c>
      <c r="AR120" s="116">
        <f t="shared" si="327"/>
        <v>742827</v>
      </c>
      <c r="AS120" s="3">
        <f t="shared" si="328"/>
        <v>12777</v>
      </c>
      <c r="AT120" s="26">
        <f t="shared" si="329"/>
        <v>425</v>
      </c>
    </row>
    <row r="121" spans="1:46" x14ac:dyDescent="0.15">
      <c r="A121" s="146">
        <v>40087</v>
      </c>
      <c r="B121" s="3">
        <v>996</v>
      </c>
      <c r="C121" s="115">
        <f t="shared" si="303"/>
        <v>8.2369189292005388E-3</v>
      </c>
      <c r="D121" s="107">
        <v>120919</v>
      </c>
      <c r="E121" s="42">
        <v>505</v>
      </c>
      <c r="F121" s="115">
        <f t="shared" si="304"/>
        <v>0.29934795494961469</v>
      </c>
      <c r="G121" s="40">
        <v>1687</v>
      </c>
      <c r="H121" s="13">
        <v>35</v>
      </c>
      <c r="I121" s="115">
        <f t="shared" si="305"/>
        <v>0.81395348837209303</v>
      </c>
      <c r="J121" s="13">
        <v>43</v>
      </c>
      <c r="K121" s="195">
        <f t="shared" si="315"/>
        <v>1536</v>
      </c>
      <c r="L121" s="115">
        <f t="shared" si="306"/>
        <v>1.2523542792847883E-2</v>
      </c>
      <c r="M121" s="23">
        <f t="shared" si="316"/>
        <v>122649</v>
      </c>
      <c r="N121" s="64">
        <v>5474</v>
      </c>
      <c r="O121" s="67">
        <f t="shared" si="307"/>
        <v>9.3526925298059414E-3</v>
      </c>
      <c r="P121" s="3">
        <v>585286</v>
      </c>
      <c r="Q121" s="68">
        <v>3535</v>
      </c>
      <c r="R121" s="67">
        <f t="shared" si="308"/>
        <v>0.32022828154724159</v>
      </c>
      <c r="S121" s="40">
        <v>11039</v>
      </c>
      <c r="T121" s="13">
        <v>305</v>
      </c>
      <c r="U121" s="67">
        <f t="shared" si="309"/>
        <v>0.82210242587601079</v>
      </c>
      <c r="V121" s="26">
        <v>371</v>
      </c>
      <c r="W121" s="63">
        <f t="shared" si="317"/>
        <v>9314</v>
      </c>
      <c r="X121" s="67">
        <f t="shared" si="310"/>
        <v>1.5609288481907034E-2</v>
      </c>
      <c r="Y121" s="26">
        <f t="shared" si="318"/>
        <v>596696</v>
      </c>
      <c r="Z121" s="41">
        <v>27</v>
      </c>
      <c r="AA121" s="115">
        <f t="shared" si="311"/>
        <v>7.2535797759449802E-4</v>
      </c>
      <c r="AB121" s="4">
        <v>37223</v>
      </c>
      <c r="AC121" s="78">
        <v>56</v>
      </c>
      <c r="AD121" s="115">
        <f t="shared" si="312"/>
        <v>0.29166666666666669</v>
      </c>
      <c r="AE121" s="43">
        <v>192</v>
      </c>
      <c r="AF121" s="13">
        <v>9</v>
      </c>
      <c r="AG121" s="7">
        <f t="shared" si="313"/>
        <v>0.52941176470588236</v>
      </c>
      <c r="AH121" s="44">
        <v>17</v>
      </c>
      <c r="AI121" s="41">
        <f t="shared" si="319"/>
        <v>92</v>
      </c>
      <c r="AJ121" s="7">
        <f t="shared" si="314"/>
        <v>2.4577901260953196E-3</v>
      </c>
      <c r="AK121" s="44">
        <f t="shared" si="320"/>
        <v>37432</v>
      </c>
      <c r="AL121" s="117">
        <f t="shared" si="321"/>
        <v>8.7392457642165751E-3</v>
      </c>
      <c r="AM121" s="115">
        <f t="shared" si="322"/>
        <v>0.31707694689580429</v>
      </c>
      <c r="AN121" s="7">
        <f t="shared" si="323"/>
        <v>0.80974477958236657</v>
      </c>
      <c r="AO121" s="171">
        <f t="shared" si="324"/>
        <v>1.4354964611115848E-2</v>
      </c>
      <c r="AP121" s="63">
        <f t="shared" si="325"/>
        <v>10942</v>
      </c>
      <c r="AQ121" s="3">
        <f t="shared" si="326"/>
        <v>762245</v>
      </c>
      <c r="AR121" s="116">
        <f t="shared" si="327"/>
        <v>743428</v>
      </c>
      <c r="AS121" s="3">
        <f t="shared" si="328"/>
        <v>12918</v>
      </c>
      <c r="AT121" s="26">
        <f t="shared" si="329"/>
        <v>431</v>
      </c>
    </row>
    <row r="122" spans="1:46" x14ac:dyDescent="0.15">
      <c r="A122" s="146">
        <v>40057</v>
      </c>
      <c r="B122" s="3">
        <v>996</v>
      </c>
      <c r="C122" s="115">
        <f t="shared" ref="C122:C128" si="330">B122/D122</f>
        <v>8.1725759204404665E-3</v>
      </c>
      <c r="D122" s="107">
        <v>121871</v>
      </c>
      <c r="E122" s="42">
        <v>497</v>
      </c>
      <c r="F122" s="115">
        <f t="shared" ref="F122:F128" si="331">E122/G122</f>
        <v>0.29218106995884774</v>
      </c>
      <c r="G122" s="40">
        <v>1701</v>
      </c>
      <c r="H122" s="13">
        <v>35</v>
      </c>
      <c r="I122" s="115">
        <f t="shared" ref="I122:I128" si="332">H122/J122</f>
        <v>0.81395348837209303</v>
      </c>
      <c r="J122" s="13">
        <v>43</v>
      </c>
      <c r="K122" s="195">
        <f t="shared" si="315"/>
        <v>1528</v>
      </c>
      <c r="L122" s="115">
        <f t="shared" ref="L122:L128" si="333">K122/M122</f>
        <v>1.2360959430489827E-2</v>
      </c>
      <c r="M122" s="23">
        <f t="shared" si="316"/>
        <v>123615</v>
      </c>
      <c r="N122" s="64">
        <v>4677</v>
      </c>
      <c r="O122" s="67">
        <f t="shared" ref="O122:O128" si="334">N122/P122</f>
        <v>8.0036689900180886E-3</v>
      </c>
      <c r="P122" s="3">
        <v>584357</v>
      </c>
      <c r="Q122" s="68">
        <v>3416</v>
      </c>
      <c r="R122" s="67">
        <f t="shared" ref="R122:R128" si="335">Q122/S122</f>
        <v>0.31156512221816857</v>
      </c>
      <c r="S122" s="40">
        <v>10964</v>
      </c>
      <c r="T122" s="13">
        <v>304</v>
      </c>
      <c r="U122" s="67">
        <f t="shared" ref="U122:U128" si="336">T122/V122</f>
        <v>0.82162162162162167</v>
      </c>
      <c r="V122" s="26">
        <v>370</v>
      </c>
      <c r="W122" s="63">
        <f t="shared" si="317"/>
        <v>8397</v>
      </c>
      <c r="X122" s="67">
        <f t="shared" ref="X122:X128" si="337">W122/Y122</f>
        <v>1.4096234457126261E-2</v>
      </c>
      <c r="Y122" s="26">
        <f t="shared" si="318"/>
        <v>595691</v>
      </c>
      <c r="Z122" s="41">
        <v>25</v>
      </c>
      <c r="AA122" s="115">
        <f t="shared" ref="AA122:AA128" si="338">Z122/AB122</f>
        <v>6.7202494556597937E-4</v>
      </c>
      <c r="AB122" s="4">
        <v>37201</v>
      </c>
      <c r="AC122" s="78">
        <v>59</v>
      </c>
      <c r="AD122" s="115">
        <f t="shared" ref="AD122:AD128" si="339">AC122/AE122</f>
        <v>0.29064039408866993</v>
      </c>
      <c r="AE122" s="43">
        <v>203</v>
      </c>
      <c r="AF122" s="13">
        <v>9</v>
      </c>
      <c r="AG122" s="7">
        <f t="shared" ref="AG122:AG128" si="340">AF122/AH122</f>
        <v>0.52941176470588236</v>
      </c>
      <c r="AH122" s="44">
        <v>17</v>
      </c>
      <c r="AI122" s="41">
        <f t="shared" si="319"/>
        <v>93</v>
      </c>
      <c r="AJ122" s="7">
        <f t="shared" ref="AJ122:AJ128" si="341">AI122/AK122</f>
        <v>2.4852355629192166E-3</v>
      </c>
      <c r="AK122" s="44">
        <f t="shared" si="320"/>
        <v>37421</v>
      </c>
      <c r="AL122" s="117">
        <f t="shared" si="321"/>
        <v>7.6644844363079733E-3</v>
      </c>
      <c r="AM122" s="115">
        <f t="shared" si="322"/>
        <v>0.30867267640658996</v>
      </c>
      <c r="AN122" s="7">
        <f t="shared" si="323"/>
        <v>0.80930232558139537</v>
      </c>
      <c r="AO122" s="171">
        <f t="shared" si="324"/>
        <v>1.3145808510526619E-2</v>
      </c>
      <c r="AP122" s="63">
        <f t="shared" si="325"/>
        <v>10018</v>
      </c>
      <c r="AQ122" s="3">
        <f t="shared" si="326"/>
        <v>762068</v>
      </c>
      <c r="AR122" s="116">
        <f t="shared" si="327"/>
        <v>743429</v>
      </c>
      <c r="AS122" s="3">
        <f t="shared" si="328"/>
        <v>12868</v>
      </c>
      <c r="AT122" s="26">
        <f t="shared" si="329"/>
        <v>430</v>
      </c>
    </row>
    <row r="123" spans="1:46" x14ac:dyDescent="0.15">
      <c r="A123" s="146">
        <v>40026</v>
      </c>
      <c r="B123" s="3">
        <v>991</v>
      </c>
      <c r="C123" s="115">
        <f t="shared" si="330"/>
        <v>8.1176277850589784E-3</v>
      </c>
      <c r="D123" s="107">
        <v>122080</v>
      </c>
      <c r="E123" s="42">
        <v>486</v>
      </c>
      <c r="F123" s="115">
        <f t="shared" si="331"/>
        <v>0.40032948929159801</v>
      </c>
      <c r="G123" s="40">
        <v>1214</v>
      </c>
      <c r="H123" s="13">
        <v>35</v>
      </c>
      <c r="I123" s="115">
        <f t="shared" si="332"/>
        <v>0.81395348837209303</v>
      </c>
      <c r="J123" s="13">
        <v>43</v>
      </c>
      <c r="K123" s="195">
        <f t="shared" ref="K123:K129" si="342">+H123+E123+B123</f>
        <v>1512</v>
      </c>
      <c r="L123" s="115">
        <f t="shared" si="333"/>
        <v>1.2259094999878381E-2</v>
      </c>
      <c r="M123" s="23">
        <f t="shared" ref="M123:M129" si="343">+J123+G123+D123</f>
        <v>123337</v>
      </c>
      <c r="N123" s="64">
        <v>4515</v>
      </c>
      <c r="O123" s="67">
        <f t="shared" si="334"/>
        <v>7.7283985696899567E-3</v>
      </c>
      <c r="P123" s="3">
        <v>584209</v>
      </c>
      <c r="Q123" s="68">
        <v>3363</v>
      </c>
      <c r="R123" s="67">
        <f t="shared" si="335"/>
        <v>0.30514472370928231</v>
      </c>
      <c r="S123" s="40">
        <v>11021</v>
      </c>
      <c r="T123" s="13">
        <v>297</v>
      </c>
      <c r="U123" s="67">
        <f t="shared" si="336"/>
        <v>0.80706521739130432</v>
      </c>
      <c r="V123" s="26">
        <v>368</v>
      </c>
      <c r="W123" s="63">
        <f t="shared" ref="W123:W129" si="344">+T123+Q123+N123</f>
        <v>8175</v>
      </c>
      <c r="X123" s="67">
        <f t="shared" si="337"/>
        <v>1.3725700892212533E-2</v>
      </c>
      <c r="Y123" s="26">
        <f t="shared" ref="Y123:Y129" si="345">+V123+S123+P123</f>
        <v>595598</v>
      </c>
      <c r="Z123" s="41">
        <v>25</v>
      </c>
      <c r="AA123" s="115">
        <f t="shared" si="338"/>
        <v>6.7171798592079103E-4</v>
      </c>
      <c r="AB123" s="4">
        <v>37218</v>
      </c>
      <c r="AC123" s="78">
        <v>59</v>
      </c>
      <c r="AD123" s="115">
        <f t="shared" si="339"/>
        <v>0.29064039408866993</v>
      </c>
      <c r="AE123" s="43">
        <v>203</v>
      </c>
      <c r="AF123" s="13">
        <v>9</v>
      </c>
      <c r="AG123" s="7">
        <f t="shared" si="340"/>
        <v>0.5</v>
      </c>
      <c r="AH123" s="44">
        <v>18</v>
      </c>
      <c r="AI123" s="41">
        <f t="shared" ref="AI123:AI129" si="346">+AF123+AC123+Z123</f>
        <v>93</v>
      </c>
      <c r="AJ123" s="7">
        <f t="shared" si="341"/>
        <v>2.4840407062154436E-3</v>
      </c>
      <c r="AK123" s="44">
        <f t="shared" ref="AK123:AK129" si="347">+AH123+AE123+AB123</f>
        <v>37439</v>
      </c>
      <c r="AL123" s="117">
        <f t="shared" ref="AL123:AL129" si="348">(B123+N123+Z123)/AR123</f>
        <v>7.4390691681450209E-3</v>
      </c>
      <c r="AM123" s="115">
        <f t="shared" ref="AM123:AM129" si="349">(E123+Q123+AC123)/AS123</f>
        <v>0.31419842418395239</v>
      </c>
      <c r="AN123" s="7">
        <f t="shared" ref="AN123:AN129" si="350">(H123+T123+AF123)/AT123</f>
        <v>0.79487179487179482</v>
      </c>
      <c r="AO123" s="171">
        <f t="shared" ref="AO123:AO129" si="351">AP123/AQ123</f>
        <v>1.2840729006786679E-2</v>
      </c>
      <c r="AP123" s="63">
        <f t="shared" ref="AP123:AP129" si="352">AF123+AC123+Z123+T123+Q123+N123+H123+E123+B123</f>
        <v>9780</v>
      </c>
      <c r="AQ123" s="3">
        <f t="shared" ref="AQ123:AQ129" si="353">AH123+AF123+AE123+AC123+Z123+AB123+V123+T123+S123+Q123+P123+J123+H123+G123+E123+D123+B123</f>
        <v>761639</v>
      </c>
      <c r="AR123" s="116">
        <f t="shared" ref="AR123:AR129" si="354">+D123+P123+AB123</f>
        <v>743507</v>
      </c>
      <c r="AS123" s="3">
        <f t="shared" ref="AS123:AS129" si="355">G123+S123+AE123</f>
        <v>12438</v>
      </c>
      <c r="AT123" s="26">
        <f t="shared" ref="AT123:AT129" si="356">J123+V123+AH123</f>
        <v>429</v>
      </c>
    </row>
    <row r="124" spans="1:46" x14ac:dyDescent="0.15">
      <c r="A124" s="146">
        <v>39995</v>
      </c>
      <c r="B124" s="3">
        <v>966</v>
      </c>
      <c r="C124" s="115">
        <f t="shared" si="330"/>
        <v>7.923813273617639E-3</v>
      </c>
      <c r="D124" s="107">
        <v>121911</v>
      </c>
      <c r="E124" s="42">
        <v>486</v>
      </c>
      <c r="F124" s="115">
        <f t="shared" si="331"/>
        <v>0.28588235294117648</v>
      </c>
      <c r="G124" s="40">
        <v>1700</v>
      </c>
      <c r="H124" s="13">
        <v>33</v>
      </c>
      <c r="I124" s="115">
        <f t="shared" si="332"/>
        <v>0.73333333333333328</v>
      </c>
      <c r="J124" s="13">
        <v>45</v>
      </c>
      <c r="K124" s="195">
        <f>+H124+E124+B124</f>
        <v>1485</v>
      </c>
      <c r="L124" s="115">
        <f t="shared" si="333"/>
        <v>1.2009122080610727E-2</v>
      </c>
      <c r="M124" s="23">
        <f>+J124+G124+D124</f>
        <v>123656</v>
      </c>
      <c r="N124" s="64">
        <v>4420</v>
      </c>
      <c r="O124" s="67">
        <f t="shared" si="334"/>
        <v>7.5706710149495062E-3</v>
      </c>
      <c r="P124" s="3">
        <v>583832</v>
      </c>
      <c r="Q124" s="68">
        <v>3315</v>
      </c>
      <c r="R124" s="67">
        <f t="shared" si="335"/>
        <v>0.29902579830416742</v>
      </c>
      <c r="S124" s="40">
        <v>11086</v>
      </c>
      <c r="T124" s="13">
        <v>297</v>
      </c>
      <c r="U124" s="67">
        <f t="shared" si="336"/>
        <v>0.80706521739130432</v>
      </c>
      <c r="V124" s="26">
        <v>368</v>
      </c>
      <c r="W124" s="63">
        <f>+T124+Q124+N124</f>
        <v>8032</v>
      </c>
      <c r="X124" s="67">
        <f t="shared" si="337"/>
        <v>1.349267410958766E-2</v>
      </c>
      <c r="Y124" s="26">
        <f>+V124+S124+P124</f>
        <v>595286</v>
      </c>
      <c r="Z124" s="41">
        <v>27</v>
      </c>
      <c r="AA124" s="115">
        <f t="shared" si="338"/>
        <v>7.268615732514941E-4</v>
      </c>
      <c r="AB124" s="4">
        <v>37146</v>
      </c>
      <c r="AC124" s="78">
        <v>60</v>
      </c>
      <c r="AD124" s="115">
        <f t="shared" si="339"/>
        <v>0.29556650246305421</v>
      </c>
      <c r="AE124" s="43">
        <v>203</v>
      </c>
      <c r="AF124" s="13">
        <v>12</v>
      </c>
      <c r="AG124" s="7">
        <f t="shared" si="340"/>
        <v>0.66666666666666663</v>
      </c>
      <c r="AH124" s="44">
        <v>18</v>
      </c>
      <c r="AI124" s="41">
        <f>+AF124+AC124+Z124</f>
        <v>99</v>
      </c>
      <c r="AJ124" s="7">
        <f t="shared" si="341"/>
        <v>2.6493965263467765E-3</v>
      </c>
      <c r="AK124" s="44">
        <f>+AH124+AE124+AB124</f>
        <v>37367</v>
      </c>
      <c r="AL124" s="117">
        <f>(B124+N124+Z124)/AR124</f>
        <v>7.2864182939847005E-3</v>
      </c>
      <c r="AM124" s="115">
        <f>(E124+Q124+AC124)/AS124</f>
        <v>0.29725152051736087</v>
      </c>
      <c r="AN124" s="7">
        <f>(H124+T124+AF124)/AT124</f>
        <v>0.79350348027842232</v>
      </c>
      <c r="AO124" s="171">
        <f>AP124/AQ124</f>
        <v>1.2627625557284588E-2</v>
      </c>
      <c r="AP124" s="63">
        <f>AF124+AC124+Z124+T124+Q124+N124+H124+E124+B124</f>
        <v>9616</v>
      </c>
      <c r="AQ124" s="3">
        <f>AH124+AF124+AE124+AC124+Z124+AB124+V124+T124+S124+Q124+P124+J124+H124+G124+E124+D124+B124</f>
        <v>761505</v>
      </c>
      <c r="AR124" s="116">
        <f>+D124+P124+AB124</f>
        <v>742889</v>
      </c>
      <c r="AS124" s="3">
        <f>G124+S124+AE124</f>
        <v>12989</v>
      </c>
      <c r="AT124" s="26">
        <f>J124+V124+AH124</f>
        <v>431</v>
      </c>
    </row>
    <row r="125" spans="1:46" x14ac:dyDescent="0.15">
      <c r="A125" s="146">
        <v>39965</v>
      </c>
      <c r="B125" s="3">
        <v>952</v>
      </c>
      <c r="C125" s="115">
        <f t="shared" si="330"/>
        <v>7.8140390045308289E-3</v>
      </c>
      <c r="D125" s="107">
        <v>121832</v>
      </c>
      <c r="E125" s="42">
        <v>475</v>
      </c>
      <c r="F125" s="115">
        <f t="shared" si="331"/>
        <v>0.27924750146972371</v>
      </c>
      <c r="G125" s="40">
        <v>1701</v>
      </c>
      <c r="H125" s="13">
        <v>32</v>
      </c>
      <c r="I125" s="115">
        <f t="shared" si="332"/>
        <v>0.71111111111111114</v>
      </c>
      <c r="J125" s="13">
        <v>45</v>
      </c>
      <c r="K125" s="195">
        <f t="shared" si="342"/>
        <v>1459</v>
      </c>
      <c r="L125" s="115">
        <f t="shared" si="333"/>
        <v>1.1806308566249656E-2</v>
      </c>
      <c r="M125" s="23">
        <f t="shared" si="343"/>
        <v>123578</v>
      </c>
      <c r="N125" s="64">
        <v>4130</v>
      </c>
      <c r="O125" s="67">
        <f t="shared" si="334"/>
        <v>7.0647441895472576E-3</v>
      </c>
      <c r="P125" s="3">
        <v>584593</v>
      </c>
      <c r="Q125" s="68">
        <v>3248</v>
      </c>
      <c r="R125" s="67">
        <f t="shared" si="335"/>
        <v>0.29314079422382672</v>
      </c>
      <c r="S125" s="40">
        <v>11080</v>
      </c>
      <c r="T125" s="13">
        <v>302</v>
      </c>
      <c r="U125" s="67">
        <f t="shared" si="336"/>
        <v>0.81842818428184283</v>
      </c>
      <c r="V125" s="26">
        <v>369</v>
      </c>
      <c r="W125" s="63">
        <f t="shared" si="344"/>
        <v>7680</v>
      </c>
      <c r="X125" s="67">
        <f t="shared" si="337"/>
        <v>1.2884998037051081E-2</v>
      </c>
      <c r="Y125" s="26">
        <f t="shared" si="345"/>
        <v>596042</v>
      </c>
      <c r="Z125" s="41">
        <v>27</v>
      </c>
      <c r="AA125" s="115">
        <f t="shared" si="338"/>
        <v>7.2660728221965074E-4</v>
      </c>
      <c r="AB125" s="4">
        <v>37159</v>
      </c>
      <c r="AC125" s="78">
        <v>60</v>
      </c>
      <c r="AD125" s="115">
        <f t="shared" si="339"/>
        <v>0.29702970297029702</v>
      </c>
      <c r="AE125" s="43">
        <v>202</v>
      </c>
      <c r="AF125" s="13">
        <v>12</v>
      </c>
      <c r="AG125" s="7">
        <f t="shared" si="340"/>
        <v>0.66666666666666663</v>
      </c>
      <c r="AH125" s="44">
        <v>18</v>
      </c>
      <c r="AI125" s="41">
        <f t="shared" si="346"/>
        <v>99</v>
      </c>
      <c r="AJ125" s="7">
        <f t="shared" si="341"/>
        <v>2.6485459750127077E-3</v>
      </c>
      <c r="AK125" s="44">
        <f t="shared" si="347"/>
        <v>37379</v>
      </c>
      <c r="AL125" s="117">
        <f t="shared" si="348"/>
        <v>6.8707772087618886E-3</v>
      </c>
      <c r="AM125" s="115">
        <f t="shared" si="349"/>
        <v>0.29138103674035276</v>
      </c>
      <c r="AN125" s="7">
        <f t="shared" si="350"/>
        <v>0.80092592592592593</v>
      </c>
      <c r="AO125" s="171">
        <f t="shared" si="351"/>
        <v>1.2121657457548613E-2</v>
      </c>
      <c r="AP125" s="63">
        <f t="shared" si="352"/>
        <v>9238</v>
      </c>
      <c r="AQ125" s="3">
        <f t="shared" si="353"/>
        <v>762107</v>
      </c>
      <c r="AR125" s="116">
        <f t="shared" si="354"/>
        <v>743584</v>
      </c>
      <c r="AS125" s="3">
        <f t="shared" si="355"/>
        <v>12983</v>
      </c>
      <c r="AT125" s="26">
        <f t="shared" si="356"/>
        <v>432</v>
      </c>
    </row>
    <row r="126" spans="1:46" x14ac:dyDescent="0.15">
      <c r="A126" s="146">
        <v>39934</v>
      </c>
      <c r="B126" s="3">
        <v>659</v>
      </c>
      <c r="C126" s="115">
        <f t="shared" si="330"/>
        <v>5.4282019389965651E-3</v>
      </c>
      <c r="D126" s="107">
        <v>121403</v>
      </c>
      <c r="E126" s="42">
        <v>456</v>
      </c>
      <c r="F126" s="115">
        <f t="shared" si="331"/>
        <v>0.26792009400705052</v>
      </c>
      <c r="G126" s="40">
        <v>1702</v>
      </c>
      <c r="H126" s="13">
        <v>31</v>
      </c>
      <c r="I126" s="115">
        <f t="shared" si="332"/>
        <v>0.68888888888888888</v>
      </c>
      <c r="J126" s="13">
        <v>45</v>
      </c>
      <c r="K126" s="195">
        <f t="shared" si="342"/>
        <v>1146</v>
      </c>
      <c r="L126" s="115">
        <f t="shared" si="333"/>
        <v>9.3057247259439712E-3</v>
      </c>
      <c r="M126" s="23">
        <f t="shared" si="343"/>
        <v>123150</v>
      </c>
      <c r="N126" s="64">
        <v>3331</v>
      </c>
      <c r="O126" s="67">
        <f t="shared" si="334"/>
        <v>5.706776861769563E-3</v>
      </c>
      <c r="P126" s="3">
        <v>583692</v>
      </c>
      <c r="Q126" s="68">
        <v>3168</v>
      </c>
      <c r="R126" s="67">
        <f t="shared" si="335"/>
        <v>0.28450830713964975</v>
      </c>
      <c r="S126" s="40">
        <v>11135</v>
      </c>
      <c r="T126" s="13">
        <v>301</v>
      </c>
      <c r="U126" s="67">
        <f t="shared" si="336"/>
        <v>0.80913978494623651</v>
      </c>
      <c r="V126" s="26">
        <v>372</v>
      </c>
      <c r="W126" s="63">
        <f t="shared" si="344"/>
        <v>6800</v>
      </c>
      <c r="X126" s="67">
        <f t="shared" si="337"/>
        <v>1.1424750377604801E-2</v>
      </c>
      <c r="Y126" s="26">
        <f t="shared" si="345"/>
        <v>595199</v>
      </c>
      <c r="Z126" s="41">
        <v>27</v>
      </c>
      <c r="AA126" s="115">
        <f t="shared" si="338"/>
        <v>7.2693985245813361E-4</v>
      </c>
      <c r="AB126" s="4">
        <v>37142</v>
      </c>
      <c r="AC126" s="78">
        <v>60</v>
      </c>
      <c r="AD126" s="115">
        <f t="shared" si="339"/>
        <v>0.3</v>
      </c>
      <c r="AE126" s="43">
        <v>200</v>
      </c>
      <c r="AF126" s="13">
        <v>12</v>
      </c>
      <c r="AG126" s="7">
        <f t="shared" si="340"/>
        <v>0.66666666666666663</v>
      </c>
      <c r="AH126" s="44">
        <v>18</v>
      </c>
      <c r="AI126" s="41">
        <f t="shared" si="346"/>
        <v>99</v>
      </c>
      <c r="AJ126" s="7">
        <f t="shared" si="341"/>
        <v>2.6498929336188437E-3</v>
      </c>
      <c r="AK126" s="44">
        <f t="shared" si="347"/>
        <v>37360</v>
      </c>
      <c r="AL126" s="117">
        <f t="shared" si="348"/>
        <v>5.4120179942525101E-3</v>
      </c>
      <c r="AM126" s="115">
        <f t="shared" si="349"/>
        <v>0.28258034823962569</v>
      </c>
      <c r="AN126" s="7">
        <f t="shared" si="350"/>
        <v>0.79080459770114941</v>
      </c>
      <c r="AO126" s="171">
        <f t="shared" si="351"/>
        <v>1.0579637912056843E-2</v>
      </c>
      <c r="AP126" s="63">
        <f t="shared" si="352"/>
        <v>8045</v>
      </c>
      <c r="AQ126" s="3">
        <f t="shared" si="353"/>
        <v>760423</v>
      </c>
      <c r="AR126" s="116">
        <f t="shared" si="354"/>
        <v>742237</v>
      </c>
      <c r="AS126" s="3">
        <f t="shared" si="355"/>
        <v>13037</v>
      </c>
      <c r="AT126" s="26">
        <f t="shared" si="356"/>
        <v>435</v>
      </c>
    </row>
    <row r="127" spans="1:46" x14ac:dyDescent="0.15">
      <c r="A127" s="146">
        <v>39904</v>
      </c>
      <c r="B127" s="3">
        <v>643</v>
      </c>
      <c r="C127" s="115">
        <f t="shared" si="330"/>
        <v>5.3400880325554356E-3</v>
      </c>
      <c r="D127" s="107">
        <v>120410</v>
      </c>
      <c r="E127" s="42">
        <v>460</v>
      </c>
      <c r="F127" s="115">
        <f t="shared" si="331"/>
        <v>0.27332144979203804</v>
      </c>
      <c r="G127" s="40">
        <v>1683</v>
      </c>
      <c r="H127" s="13">
        <v>31</v>
      </c>
      <c r="I127" s="115">
        <f t="shared" si="332"/>
        <v>0.68888888888888888</v>
      </c>
      <c r="J127" s="13">
        <v>45</v>
      </c>
      <c r="K127" s="195">
        <f t="shared" si="342"/>
        <v>1134</v>
      </c>
      <c r="L127" s="115">
        <f t="shared" si="333"/>
        <v>9.2845797376737791E-3</v>
      </c>
      <c r="M127" s="23">
        <f t="shared" si="343"/>
        <v>122138</v>
      </c>
      <c r="N127" s="64">
        <v>3094</v>
      </c>
      <c r="O127" s="67">
        <f t="shared" si="334"/>
        <v>5.2919283554314954E-3</v>
      </c>
      <c r="P127" s="3">
        <v>584664</v>
      </c>
      <c r="Q127" s="68">
        <v>3160</v>
      </c>
      <c r="R127" s="67">
        <f t="shared" si="335"/>
        <v>0.28389183361782411</v>
      </c>
      <c r="S127" s="40">
        <v>11131</v>
      </c>
      <c r="T127" s="13">
        <v>298</v>
      </c>
      <c r="U127" s="67">
        <f t="shared" si="336"/>
        <v>0.79255319148936165</v>
      </c>
      <c r="V127" s="26">
        <v>376</v>
      </c>
      <c r="W127" s="63">
        <f t="shared" si="344"/>
        <v>6552</v>
      </c>
      <c r="X127" s="67">
        <f t="shared" si="337"/>
        <v>1.0990135380620662E-2</v>
      </c>
      <c r="Y127" s="26">
        <f t="shared" si="345"/>
        <v>596171</v>
      </c>
      <c r="Z127" s="41">
        <v>26</v>
      </c>
      <c r="AA127" s="115">
        <f t="shared" si="338"/>
        <v>7.0033670033670039E-4</v>
      </c>
      <c r="AB127" s="4">
        <v>37125</v>
      </c>
      <c r="AC127" s="78">
        <v>57</v>
      </c>
      <c r="AD127" s="115">
        <f t="shared" si="339"/>
        <v>0.28499999999999998</v>
      </c>
      <c r="AE127" s="43">
        <v>200</v>
      </c>
      <c r="AF127" s="13">
        <v>12</v>
      </c>
      <c r="AG127" s="7">
        <f t="shared" si="340"/>
        <v>0.66666666666666663</v>
      </c>
      <c r="AH127" s="44">
        <v>18</v>
      </c>
      <c r="AI127" s="41">
        <f t="shared" si="346"/>
        <v>95</v>
      </c>
      <c r="AJ127" s="7">
        <f t="shared" si="341"/>
        <v>2.5439841469619474E-3</v>
      </c>
      <c r="AK127" s="44">
        <f t="shared" si="347"/>
        <v>37343</v>
      </c>
      <c r="AL127" s="117">
        <f t="shared" si="348"/>
        <v>5.0700688090390853E-3</v>
      </c>
      <c r="AM127" s="115">
        <f t="shared" si="349"/>
        <v>0.28254187797756264</v>
      </c>
      <c r="AN127" s="7">
        <f t="shared" si="350"/>
        <v>0.77676537585421412</v>
      </c>
      <c r="AO127" s="171">
        <f t="shared" si="351"/>
        <v>1.0233593173571262E-2</v>
      </c>
      <c r="AP127" s="63">
        <f t="shared" si="352"/>
        <v>7781</v>
      </c>
      <c r="AQ127" s="3">
        <f t="shared" si="353"/>
        <v>760339</v>
      </c>
      <c r="AR127" s="116">
        <f t="shared" si="354"/>
        <v>742199</v>
      </c>
      <c r="AS127" s="3">
        <f t="shared" si="355"/>
        <v>13014</v>
      </c>
      <c r="AT127" s="26">
        <f t="shared" si="356"/>
        <v>439</v>
      </c>
    </row>
    <row r="128" spans="1:46" x14ac:dyDescent="0.15">
      <c r="A128" s="146">
        <v>39873</v>
      </c>
      <c r="B128" s="3">
        <v>620</v>
      </c>
      <c r="C128" s="115">
        <f t="shared" si="330"/>
        <v>5.1747738123059462E-3</v>
      </c>
      <c r="D128" s="107">
        <v>119812</v>
      </c>
      <c r="E128" s="42">
        <v>456</v>
      </c>
      <c r="F128" s="115">
        <f t="shared" si="331"/>
        <v>0.27602905569007263</v>
      </c>
      <c r="G128" s="40">
        <v>1652</v>
      </c>
      <c r="H128" s="13">
        <v>31</v>
      </c>
      <c r="I128" s="115">
        <f t="shared" si="332"/>
        <v>0.67391304347826086</v>
      </c>
      <c r="J128" s="13">
        <v>46</v>
      </c>
      <c r="K128" s="195">
        <f t="shared" si="342"/>
        <v>1107</v>
      </c>
      <c r="L128" s="115">
        <f t="shared" si="333"/>
        <v>9.110361287136862E-3</v>
      </c>
      <c r="M128" s="23">
        <f t="shared" si="343"/>
        <v>121510</v>
      </c>
      <c r="N128" s="64">
        <v>2984</v>
      </c>
      <c r="O128" s="67">
        <f t="shared" si="334"/>
        <v>5.1047465247008829E-3</v>
      </c>
      <c r="P128" s="3">
        <v>584554</v>
      </c>
      <c r="Q128" s="68">
        <v>3123</v>
      </c>
      <c r="R128" s="67">
        <f t="shared" si="335"/>
        <v>0.2814781433077963</v>
      </c>
      <c r="S128" s="40">
        <v>11095</v>
      </c>
      <c r="T128" s="13">
        <v>295</v>
      </c>
      <c r="U128" s="67">
        <f t="shared" si="336"/>
        <v>0.793010752688172</v>
      </c>
      <c r="V128" s="26">
        <v>372</v>
      </c>
      <c r="W128" s="63">
        <f t="shared" si="344"/>
        <v>6402</v>
      </c>
      <c r="X128" s="67">
        <f t="shared" si="337"/>
        <v>1.0741232272017261E-2</v>
      </c>
      <c r="Y128" s="26">
        <f t="shared" si="345"/>
        <v>596021</v>
      </c>
      <c r="Z128" s="41">
        <v>25</v>
      </c>
      <c r="AA128" s="115">
        <f t="shared" si="338"/>
        <v>6.7376364371378526E-4</v>
      </c>
      <c r="AB128" s="4">
        <v>37105</v>
      </c>
      <c r="AC128" s="78">
        <v>39</v>
      </c>
      <c r="AD128" s="115">
        <f t="shared" si="339"/>
        <v>0.19500000000000001</v>
      </c>
      <c r="AE128" s="43">
        <v>200</v>
      </c>
      <c r="AF128" s="13">
        <v>11</v>
      </c>
      <c r="AG128" s="7">
        <f t="shared" si="340"/>
        <v>0.61111111111111116</v>
      </c>
      <c r="AH128" s="44">
        <v>18</v>
      </c>
      <c r="AI128" s="41">
        <f t="shared" si="346"/>
        <v>75</v>
      </c>
      <c r="AJ128" s="7">
        <f t="shared" si="341"/>
        <v>2.0094847681054579E-3</v>
      </c>
      <c r="AK128" s="44">
        <f t="shared" si="347"/>
        <v>37323</v>
      </c>
      <c r="AL128" s="117">
        <f t="shared" si="348"/>
        <v>4.8943249297679885E-3</v>
      </c>
      <c r="AM128" s="115">
        <f t="shared" si="349"/>
        <v>0.2794469761334672</v>
      </c>
      <c r="AN128" s="7">
        <f t="shared" si="350"/>
        <v>0.77293577981651373</v>
      </c>
      <c r="AO128" s="171">
        <f t="shared" si="351"/>
        <v>9.9861216084186806E-3</v>
      </c>
      <c r="AP128" s="63">
        <f t="shared" si="352"/>
        <v>7584</v>
      </c>
      <c r="AQ128" s="3">
        <f t="shared" si="353"/>
        <v>759454</v>
      </c>
      <c r="AR128" s="116">
        <f t="shared" si="354"/>
        <v>741471</v>
      </c>
      <c r="AS128" s="3">
        <f t="shared" si="355"/>
        <v>12947</v>
      </c>
      <c r="AT128" s="26">
        <f t="shared" si="356"/>
        <v>436</v>
      </c>
    </row>
    <row r="129" spans="1:50" x14ac:dyDescent="0.15">
      <c r="A129" s="146">
        <v>39845</v>
      </c>
      <c r="B129" s="3">
        <v>607</v>
      </c>
      <c r="C129" s="115">
        <f t="shared" ref="C129:C150" si="357">B129/D129</f>
        <v>5.0684702738810952E-3</v>
      </c>
      <c r="D129" s="107">
        <v>119760</v>
      </c>
      <c r="E129" s="42">
        <v>442</v>
      </c>
      <c r="F129" s="115">
        <f t="shared" ref="F129:F150" si="358">E129/G129</f>
        <v>0.26984126984126983</v>
      </c>
      <c r="G129" s="40">
        <v>1638</v>
      </c>
      <c r="H129" s="13">
        <v>31</v>
      </c>
      <c r="I129" s="115">
        <f t="shared" ref="I129:I150" si="359">H129/J129</f>
        <v>0.67391304347826086</v>
      </c>
      <c r="J129" s="13">
        <v>46</v>
      </c>
      <c r="K129" s="195">
        <f t="shared" si="342"/>
        <v>1080</v>
      </c>
      <c r="L129" s="115">
        <f t="shared" ref="L129:L166" si="360">K129/M129</f>
        <v>8.8929877145021569E-3</v>
      </c>
      <c r="M129" s="23">
        <f t="shared" si="343"/>
        <v>121444</v>
      </c>
      <c r="N129" s="64">
        <v>2849</v>
      </c>
      <c r="O129" s="67">
        <f t="shared" ref="O129:O161" si="361">N129/P129</f>
        <v>4.8741264124958295E-3</v>
      </c>
      <c r="P129" s="3">
        <v>584515</v>
      </c>
      <c r="Q129" s="68">
        <v>2985</v>
      </c>
      <c r="R129" s="67">
        <f t="shared" ref="R129:R161" si="362">Q129/S129</f>
        <v>0.26870105320010801</v>
      </c>
      <c r="S129" s="40">
        <v>11109</v>
      </c>
      <c r="T129" s="13">
        <v>296</v>
      </c>
      <c r="U129" s="67">
        <f t="shared" ref="U129:U161" si="363">T129/V129</f>
        <v>0.79356568364611257</v>
      </c>
      <c r="V129" s="26">
        <v>373</v>
      </c>
      <c r="W129" s="63">
        <f t="shared" si="344"/>
        <v>6130</v>
      </c>
      <c r="X129" s="67">
        <f t="shared" ref="X129:X161" si="364">W129/Y129</f>
        <v>1.0285286670906061E-2</v>
      </c>
      <c r="Y129" s="26">
        <f t="shared" si="345"/>
        <v>595997</v>
      </c>
      <c r="Z129" s="41">
        <v>91</v>
      </c>
      <c r="AA129" s="115">
        <f t="shared" ref="AA129:AA153" si="365">Z129/AB129</f>
        <v>2.4540208187260664E-3</v>
      </c>
      <c r="AB129" s="4">
        <v>37082</v>
      </c>
      <c r="AC129" s="78">
        <v>32</v>
      </c>
      <c r="AD129" s="115">
        <f t="shared" ref="AD129:AD153" si="366">AC129/AE129</f>
        <v>0.15841584158415842</v>
      </c>
      <c r="AE129" s="43">
        <v>202</v>
      </c>
      <c r="AF129" s="13">
        <v>10</v>
      </c>
      <c r="AG129" s="7">
        <f t="shared" ref="AG129:AG153" si="367">AF129/AH129</f>
        <v>0.55555555555555558</v>
      </c>
      <c r="AH129" s="44">
        <v>18</v>
      </c>
      <c r="AI129" s="41">
        <f t="shared" si="346"/>
        <v>133</v>
      </c>
      <c r="AJ129" s="7">
        <f t="shared" ref="AJ129:AJ161" si="368">AI129/AK129</f>
        <v>3.5654924668918559E-3</v>
      </c>
      <c r="AK129" s="44">
        <f t="shared" si="347"/>
        <v>37302</v>
      </c>
      <c r="AL129" s="117">
        <f t="shared" si="348"/>
        <v>4.7844695605491015E-3</v>
      </c>
      <c r="AM129" s="115">
        <f t="shared" si="349"/>
        <v>0.26712487450768402</v>
      </c>
      <c r="AN129" s="7">
        <f t="shared" si="350"/>
        <v>0.77116704805491987</v>
      </c>
      <c r="AO129" s="171">
        <f t="shared" si="351"/>
        <v>9.6715518342757271E-3</v>
      </c>
      <c r="AP129" s="63">
        <f t="shared" si="352"/>
        <v>7343</v>
      </c>
      <c r="AQ129" s="3">
        <f t="shared" si="353"/>
        <v>759237</v>
      </c>
      <c r="AR129" s="116">
        <f t="shared" si="354"/>
        <v>741357</v>
      </c>
      <c r="AS129" s="3">
        <f t="shared" si="355"/>
        <v>12949</v>
      </c>
      <c r="AT129" s="26">
        <f t="shared" si="356"/>
        <v>437</v>
      </c>
    </row>
    <row r="130" spans="1:50" x14ac:dyDescent="0.15">
      <c r="A130" s="147">
        <v>39814</v>
      </c>
      <c r="B130" s="3">
        <v>600</v>
      </c>
      <c r="C130" s="115">
        <f t="shared" si="357"/>
        <v>5.0093089658281636E-3</v>
      </c>
      <c r="D130" s="107">
        <v>119777</v>
      </c>
      <c r="E130" s="42">
        <v>442</v>
      </c>
      <c r="F130" s="115">
        <f t="shared" si="358"/>
        <v>0.27267119062307216</v>
      </c>
      <c r="G130" s="40">
        <v>1621</v>
      </c>
      <c r="H130" s="13">
        <v>31</v>
      </c>
      <c r="I130" s="115">
        <f t="shared" si="359"/>
        <v>0.67391304347826086</v>
      </c>
      <c r="J130" s="13">
        <v>46</v>
      </c>
      <c r="K130" s="195">
        <f t="shared" ref="K130:K166" si="369">+H130+E130+B130</f>
        <v>1073</v>
      </c>
      <c r="L130" s="115">
        <f t="shared" si="360"/>
        <v>8.8353479793155699E-3</v>
      </c>
      <c r="M130" s="23">
        <f t="shared" ref="M130:M166" si="370">+J130+G130+D130</f>
        <v>121444</v>
      </c>
      <c r="N130" s="64">
        <v>2839</v>
      </c>
      <c r="O130" s="67">
        <f t="shared" si="361"/>
        <v>4.8588054081807287E-3</v>
      </c>
      <c r="P130" s="3">
        <v>584300</v>
      </c>
      <c r="Q130" s="68">
        <v>2939</v>
      </c>
      <c r="R130" s="67">
        <f t="shared" si="362"/>
        <v>0.2646793948126801</v>
      </c>
      <c r="S130" s="40">
        <v>11104</v>
      </c>
      <c r="T130" s="13">
        <v>292</v>
      </c>
      <c r="U130" s="67">
        <f t="shared" si="363"/>
        <v>0.78284182305630023</v>
      </c>
      <c r="V130" s="26">
        <v>373</v>
      </c>
      <c r="W130" s="63">
        <f t="shared" ref="W130:W161" si="371">+T130+Q130+N130</f>
        <v>6070</v>
      </c>
      <c r="X130" s="67">
        <f t="shared" si="364"/>
        <v>1.0188375852038599E-2</v>
      </c>
      <c r="Y130" s="26">
        <f t="shared" ref="Y130:Y161" si="372">+V130+S130+P130</f>
        <v>595777</v>
      </c>
      <c r="Z130" s="41">
        <v>122</v>
      </c>
      <c r="AA130" s="115">
        <f t="shared" si="365"/>
        <v>3.2871692622729967E-3</v>
      </c>
      <c r="AB130" s="4">
        <v>37114</v>
      </c>
      <c r="AC130" s="78">
        <v>32</v>
      </c>
      <c r="AD130" s="115">
        <f t="shared" si="366"/>
        <v>0.15841584158415842</v>
      </c>
      <c r="AE130" s="43">
        <v>202</v>
      </c>
      <c r="AF130" s="13">
        <v>10</v>
      </c>
      <c r="AG130" s="7">
        <f t="shared" si="367"/>
        <v>0.55555555555555558</v>
      </c>
      <c r="AH130" s="44">
        <v>18</v>
      </c>
      <c r="AI130" s="41">
        <f t="shared" ref="AI130:AI161" si="373">+AF130+AC130+Z130</f>
        <v>164</v>
      </c>
      <c r="AJ130" s="7">
        <f t="shared" si="368"/>
        <v>4.39277870038035E-3</v>
      </c>
      <c r="AK130" s="44">
        <f t="shared" ref="AK130:AK161" si="374">+AH130+AE130+AB130</f>
        <v>37334</v>
      </c>
      <c r="AL130" s="117">
        <f t="shared" ref="AL130:AL166" si="375">(B130+N130+Z130)/AR130</f>
        <v>4.8044296274509539E-3</v>
      </c>
      <c r="AM130" s="115">
        <f t="shared" ref="AM130:AM166" si="376">(E130+Q130+AC130)/AS130</f>
        <v>0.26402104123153092</v>
      </c>
      <c r="AN130" s="7">
        <f t="shared" ref="AN130:AN166" si="377">(H130+T130+AF130)/AT130</f>
        <v>0.76201372997711669</v>
      </c>
      <c r="AO130" s="171">
        <f t="shared" ref="AO130:AO166" si="378">AP130/AQ130</f>
        <v>9.6268492522624486E-3</v>
      </c>
      <c r="AP130" s="63">
        <f t="shared" ref="AP130:AP166" si="379">AF130+AC130+Z130+T130+Q130+N130+H130+E130+B130</f>
        <v>7307</v>
      </c>
      <c r="AQ130" s="3">
        <f t="shared" ref="AQ130:AQ166" si="380">AH130+AF130+AE130+AC130+Z130+AB130+V130+T130+S130+Q130+P130+J130+H130+G130+E130+D130+B130</f>
        <v>759023</v>
      </c>
      <c r="AR130" s="116">
        <f t="shared" ref="AR130:AR149" si="381">+D130+P130+AB130</f>
        <v>741191</v>
      </c>
      <c r="AS130" s="3">
        <f t="shared" ref="AS130:AS166" si="382">G130+S130+AE130</f>
        <v>12927</v>
      </c>
      <c r="AT130" s="26">
        <f t="shared" ref="AT130:AT166" si="383">J130+V130+AH130</f>
        <v>437</v>
      </c>
      <c r="AU130" s="5"/>
      <c r="AV130" s="5"/>
      <c r="AW130" s="5"/>
      <c r="AX130" s="5"/>
    </row>
    <row r="131" spans="1:50" s="15" customFormat="1" x14ac:dyDescent="0.15">
      <c r="A131" s="147">
        <v>39783</v>
      </c>
      <c r="B131" s="3">
        <v>583</v>
      </c>
      <c r="C131" s="115">
        <f t="shared" si="357"/>
        <v>4.8914320233580562E-3</v>
      </c>
      <c r="D131" s="107">
        <v>119188</v>
      </c>
      <c r="E131" s="42">
        <v>413</v>
      </c>
      <c r="F131" s="115">
        <f t="shared" si="358"/>
        <v>0.25588599752168523</v>
      </c>
      <c r="G131" s="40">
        <v>1614</v>
      </c>
      <c r="H131" s="13">
        <v>30</v>
      </c>
      <c r="I131" s="115">
        <f t="shared" si="359"/>
        <v>0.66666666666666663</v>
      </c>
      <c r="J131" s="13">
        <v>45</v>
      </c>
      <c r="K131" s="195">
        <f t="shared" si="369"/>
        <v>1026</v>
      </c>
      <c r="L131" s="115">
        <f t="shared" si="360"/>
        <v>8.4900742260875326E-3</v>
      </c>
      <c r="M131" s="23">
        <f t="shared" si="370"/>
        <v>120847</v>
      </c>
      <c r="N131" s="64">
        <v>2835</v>
      </c>
      <c r="O131" s="67">
        <f t="shared" si="361"/>
        <v>4.8547263800865458E-3</v>
      </c>
      <c r="P131" s="3">
        <v>583967</v>
      </c>
      <c r="Q131" s="68">
        <v>2789</v>
      </c>
      <c r="R131" s="67">
        <f t="shared" si="362"/>
        <v>0.25049398239626369</v>
      </c>
      <c r="S131" s="40">
        <v>11134</v>
      </c>
      <c r="T131" s="13">
        <v>292</v>
      </c>
      <c r="U131" s="67">
        <f t="shared" si="363"/>
        <v>0.76041666666666663</v>
      </c>
      <c r="V131" s="26">
        <v>384</v>
      </c>
      <c r="W131" s="63">
        <f t="shared" si="371"/>
        <v>5916</v>
      </c>
      <c r="X131" s="67">
        <f t="shared" si="364"/>
        <v>9.9347590619411064E-3</v>
      </c>
      <c r="Y131" s="26">
        <f t="shared" si="372"/>
        <v>595485</v>
      </c>
      <c r="Z131" s="41">
        <v>122</v>
      </c>
      <c r="AA131" s="115">
        <f t="shared" si="365"/>
        <v>3.2853103541133702E-3</v>
      </c>
      <c r="AB131" s="4">
        <v>37135</v>
      </c>
      <c r="AC131" s="78">
        <v>32</v>
      </c>
      <c r="AD131" s="115">
        <f t="shared" si="366"/>
        <v>0.15686274509803921</v>
      </c>
      <c r="AE131" s="43">
        <v>204</v>
      </c>
      <c r="AF131" s="13">
        <v>10</v>
      </c>
      <c r="AG131" s="7">
        <f t="shared" si="367"/>
        <v>0.55555555555555558</v>
      </c>
      <c r="AH131" s="44">
        <v>18</v>
      </c>
      <c r="AI131" s="41">
        <f t="shared" si="373"/>
        <v>164</v>
      </c>
      <c r="AJ131" s="7">
        <f t="shared" si="368"/>
        <v>4.3900741494231335E-3</v>
      </c>
      <c r="AK131" s="44">
        <f t="shared" si="374"/>
        <v>37357</v>
      </c>
      <c r="AL131" s="117">
        <f t="shared" si="375"/>
        <v>4.7819097921084977E-3</v>
      </c>
      <c r="AM131" s="115">
        <f t="shared" si="376"/>
        <v>0.24969116738727609</v>
      </c>
      <c r="AN131" s="7">
        <f t="shared" si="377"/>
        <v>0.74272930648769575</v>
      </c>
      <c r="AO131" s="171">
        <f t="shared" si="378"/>
        <v>9.3751649163544247E-3</v>
      </c>
      <c r="AP131" s="63">
        <f t="shared" si="379"/>
        <v>7106</v>
      </c>
      <c r="AQ131" s="3">
        <f t="shared" si="380"/>
        <v>757960</v>
      </c>
      <c r="AR131" s="116">
        <f t="shared" si="381"/>
        <v>740290</v>
      </c>
      <c r="AS131" s="3">
        <f t="shared" si="382"/>
        <v>12952</v>
      </c>
      <c r="AT131" s="26">
        <f t="shared" si="383"/>
        <v>447</v>
      </c>
      <c r="AU131" s="13"/>
      <c r="AV131" s="13"/>
      <c r="AW131" s="13"/>
      <c r="AX131" s="13"/>
    </row>
    <row r="132" spans="1:50" s="15" customFormat="1" x14ac:dyDescent="0.15">
      <c r="A132" s="147">
        <v>39753</v>
      </c>
      <c r="B132" s="3">
        <v>553</v>
      </c>
      <c r="C132" s="115">
        <f t="shared" si="357"/>
        <v>4.6079493375552035E-3</v>
      </c>
      <c r="D132" s="107">
        <v>120010</v>
      </c>
      <c r="E132" s="42">
        <v>392</v>
      </c>
      <c r="F132" s="115">
        <f t="shared" si="358"/>
        <v>0.24049079754601227</v>
      </c>
      <c r="G132" s="40">
        <v>1630</v>
      </c>
      <c r="H132" s="13">
        <v>29</v>
      </c>
      <c r="I132" s="115">
        <f t="shared" si="359"/>
        <v>0.65909090909090906</v>
      </c>
      <c r="J132" s="13">
        <v>44</v>
      </c>
      <c r="K132" s="195">
        <f t="shared" si="369"/>
        <v>974</v>
      </c>
      <c r="L132" s="115">
        <f t="shared" si="360"/>
        <v>8.0043391078531284E-3</v>
      </c>
      <c r="M132" s="23">
        <f t="shared" si="370"/>
        <v>121684</v>
      </c>
      <c r="N132" s="64">
        <v>2668</v>
      </c>
      <c r="O132" s="67">
        <f t="shared" si="361"/>
        <v>4.571170103039794E-3</v>
      </c>
      <c r="P132" s="3">
        <v>583658</v>
      </c>
      <c r="Q132" s="68">
        <v>2732</v>
      </c>
      <c r="R132" s="67">
        <f t="shared" si="362"/>
        <v>0.24323361823361822</v>
      </c>
      <c r="S132" s="40">
        <v>11232</v>
      </c>
      <c r="T132" s="13">
        <v>306</v>
      </c>
      <c r="U132" s="67">
        <f t="shared" si="363"/>
        <v>0.77272727272727271</v>
      </c>
      <c r="V132" s="26">
        <v>396</v>
      </c>
      <c r="W132" s="63">
        <f t="shared" si="371"/>
        <v>5706</v>
      </c>
      <c r="X132" s="67">
        <f t="shared" si="364"/>
        <v>9.5853085743659357E-3</v>
      </c>
      <c r="Y132" s="26">
        <f t="shared" si="372"/>
        <v>595286</v>
      </c>
      <c r="Z132" s="41">
        <v>121</v>
      </c>
      <c r="AA132" s="115">
        <f t="shared" si="365"/>
        <v>3.25531342480495E-3</v>
      </c>
      <c r="AB132" s="4">
        <v>37170</v>
      </c>
      <c r="AC132" s="78">
        <v>33</v>
      </c>
      <c r="AD132" s="115">
        <f t="shared" si="366"/>
        <v>0.16097560975609757</v>
      </c>
      <c r="AE132" s="43">
        <v>205</v>
      </c>
      <c r="AF132" s="13">
        <v>10</v>
      </c>
      <c r="AG132" s="7">
        <f t="shared" si="367"/>
        <v>0.55555555555555558</v>
      </c>
      <c r="AH132" s="44">
        <v>18</v>
      </c>
      <c r="AI132" s="41">
        <f t="shared" si="373"/>
        <v>164</v>
      </c>
      <c r="AJ132" s="7">
        <f t="shared" si="368"/>
        <v>4.3858476185382293E-3</v>
      </c>
      <c r="AK132" s="44">
        <f t="shared" si="374"/>
        <v>37393</v>
      </c>
      <c r="AL132" s="117">
        <f t="shared" si="375"/>
        <v>4.5111076915600986E-3</v>
      </c>
      <c r="AM132" s="115">
        <f t="shared" si="376"/>
        <v>0.24160097956684778</v>
      </c>
      <c r="AN132" s="7">
        <f t="shared" si="377"/>
        <v>0.75327510917030571</v>
      </c>
      <c r="AO132" s="171">
        <f t="shared" si="378"/>
        <v>9.0226079344634877E-3</v>
      </c>
      <c r="AP132" s="63">
        <f t="shared" si="379"/>
        <v>6844</v>
      </c>
      <c r="AQ132" s="3">
        <f t="shared" si="380"/>
        <v>758539</v>
      </c>
      <c r="AR132" s="116">
        <f t="shared" si="381"/>
        <v>740838</v>
      </c>
      <c r="AS132" s="3">
        <f t="shared" si="382"/>
        <v>13067</v>
      </c>
      <c r="AT132" s="26">
        <f t="shared" si="383"/>
        <v>458</v>
      </c>
      <c r="AU132" s="13"/>
      <c r="AV132" s="13"/>
      <c r="AW132" s="13"/>
      <c r="AX132" s="13"/>
    </row>
    <row r="133" spans="1:50" s="15" customFormat="1" x14ac:dyDescent="0.15">
      <c r="A133" s="147">
        <v>39722</v>
      </c>
      <c r="B133" s="3">
        <v>554</v>
      </c>
      <c r="C133" s="115">
        <f t="shared" si="357"/>
        <v>4.5594080999448588E-3</v>
      </c>
      <c r="D133" s="107">
        <v>121507</v>
      </c>
      <c r="E133" s="42">
        <v>400</v>
      </c>
      <c r="F133" s="115">
        <f t="shared" si="358"/>
        <v>0.23738872403560832</v>
      </c>
      <c r="G133" s="40">
        <v>1685</v>
      </c>
      <c r="H133" s="13">
        <v>29</v>
      </c>
      <c r="I133" s="115">
        <f t="shared" si="359"/>
        <v>0.67441860465116277</v>
      </c>
      <c r="J133" s="13">
        <v>43</v>
      </c>
      <c r="K133" s="195">
        <f t="shared" si="369"/>
        <v>983</v>
      </c>
      <c r="L133" s="115">
        <f t="shared" si="360"/>
        <v>7.9766300158234261E-3</v>
      </c>
      <c r="M133" s="23">
        <f t="shared" si="370"/>
        <v>123235</v>
      </c>
      <c r="N133" s="64">
        <v>2564</v>
      </c>
      <c r="O133" s="67">
        <f t="shared" si="361"/>
        <v>4.3989829496518902E-3</v>
      </c>
      <c r="P133" s="3">
        <v>582862</v>
      </c>
      <c r="Q133" s="68">
        <v>2664</v>
      </c>
      <c r="R133" s="67">
        <f t="shared" si="362"/>
        <v>0.23366371370932373</v>
      </c>
      <c r="S133" s="40">
        <v>11401</v>
      </c>
      <c r="T133" s="13">
        <v>305</v>
      </c>
      <c r="U133" s="67">
        <f t="shared" si="363"/>
        <v>0.76441102756892232</v>
      </c>
      <c r="V133" s="26">
        <v>399</v>
      </c>
      <c r="W133" s="63">
        <f t="shared" si="371"/>
        <v>5533</v>
      </c>
      <c r="X133" s="67">
        <f t="shared" si="364"/>
        <v>9.3044452142561664E-3</v>
      </c>
      <c r="Y133" s="26">
        <f t="shared" si="372"/>
        <v>594662</v>
      </c>
      <c r="Z133" s="41">
        <v>122</v>
      </c>
      <c r="AA133" s="115">
        <f t="shared" si="365"/>
        <v>3.2837186768228674E-3</v>
      </c>
      <c r="AB133" s="4">
        <v>37153</v>
      </c>
      <c r="AC133" s="78">
        <v>33</v>
      </c>
      <c r="AD133" s="115">
        <f t="shared" si="366"/>
        <v>0.15865384615384615</v>
      </c>
      <c r="AE133" s="43">
        <v>208</v>
      </c>
      <c r="AF133" s="13">
        <v>10</v>
      </c>
      <c r="AG133" s="7">
        <f t="shared" si="367"/>
        <v>0.55555555555555558</v>
      </c>
      <c r="AH133" s="44">
        <v>18</v>
      </c>
      <c r="AI133" s="41">
        <f t="shared" si="373"/>
        <v>165</v>
      </c>
      <c r="AJ133" s="7">
        <f t="shared" si="368"/>
        <v>4.4142432916878457E-3</v>
      </c>
      <c r="AK133" s="44">
        <f t="shared" si="374"/>
        <v>37379</v>
      </c>
      <c r="AL133" s="117">
        <f t="shared" si="375"/>
        <v>4.3693916026766571E-3</v>
      </c>
      <c r="AM133" s="115">
        <f t="shared" si="376"/>
        <v>0.23296223860388146</v>
      </c>
      <c r="AN133" s="7">
        <f t="shared" si="377"/>
        <v>0.74782608695652175</v>
      </c>
      <c r="AO133" s="171">
        <f t="shared" si="378"/>
        <v>8.7978161505307528E-3</v>
      </c>
      <c r="AP133" s="63">
        <f t="shared" si="379"/>
        <v>6681</v>
      </c>
      <c r="AQ133" s="3">
        <f t="shared" si="380"/>
        <v>759393</v>
      </c>
      <c r="AR133" s="116">
        <f t="shared" si="381"/>
        <v>741522</v>
      </c>
      <c r="AS133" s="3">
        <f t="shared" si="382"/>
        <v>13294</v>
      </c>
      <c r="AT133" s="26">
        <f t="shared" si="383"/>
        <v>460</v>
      </c>
      <c r="AU133" s="13"/>
      <c r="AV133" s="13"/>
      <c r="AW133" s="13"/>
      <c r="AX133" s="13"/>
    </row>
    <row r="134" spans="1:50" s="15" customFormat="1" x14ac:dyDescent="0.15">
      <c r="A134" s="147">
        <v>39692</v>
      </c>
      <c r="B134" s="3">
        <v>549</v>
      </c>
      <c r="C134" s="115">
        <f t="shared" si="357"/>
        <v>4.5195228569311699E-3</v>
      </c>
      <c r="D134" s="107">
        <v>121473</v>
      </c>
      <c r="E134" s="42">
        <v>393</v>
      </c>
      <c r="F134" s="115">
        <f t="shared" si="358"/>
        <v>0.23295791345583877</v>
      </c>
      <c r="G134" s="40">
        <v>1687</v>
      </c>
      <c r="H134" s="13">
        <v>28</v>
      </c>
      <c r="I134" s="115">
        <f t="shared" si="359"/>
        <v>0.5</v>
      </c>
      <c r="J134" s="13">
        <v>56</v>
      </c>
      <c r="K134" s="195">
        <f t="shared" si="369"/>
        <v>970</v>
      </c>
      <c r="L134" s="115">
        <f t="shared" si="360"/>
        <v>7.8723542397091291E-3</v>
      </c>
      <c r="M134" s="23">
        <f t="shared" si="370"/>
        <v>123216</v>
      </c>
      <c r="N134" s="64">
        <v>2586</v>
      </c>
      <c r="O134" s="67">
        <f t="shared" si="361"/>
        <v>4.4365374420771092E-3</v>
      </c>
      <c r="P134" s="3">
        <v>582887</v>
      </c>
      <c r="Q134" s="68">
        <v>2641</v>
      </c>
      <c r="R134" s="67">
        <f t="shared" si="362"/>
        <v>0.23252333157245994</v>
      </c>
      <c r="S134" s="40">
        <v>11358</v>
      </c>
      <c r="T134" s="13">
        <v>305</v>
      </c>
      <c r="U134" s="67">
        <f t="shared" si="363"/>
        <v>0.76059850374064841</v>
      </c>
      <c r="V134" s="26">
        <v>401</v>
      </c>
      <c r="W134" s="63">
        <f t="shared" si="371"/>
        <v>5532</v>
      </c>
      <c r="X134" s="67">
        <f t="shared" si="364"/>
        <v>9.303013893980621E-3</v>
      </c>
      <c r="Y134" s="26">
        <f t="shared" si="372"/>
        <v>594646</v>
      </c>
      <c r="Z134" s="41">
        <v>123</v>
      </c>
      <c r="AA134" s="115">
        <f t="shared" si="365"/>
        <v>3.3053853595614319E-3</v>
      </c>
      <c r="AB134" s="4">
        <v>37212</v>
      </c>
      <c r="AC134" s="78">
        <v>33</v>
      </c>
      <c r="AD134" s="115">
        <f t="shared" si="366"/>
        <v>0.15942028985507245</v>
      </c>
      <c r="AE134" s="43">
        <v>207</v>
      </c>
      <c r="AF134" s="13">
        <v>10</v>
      </c>
      <c r="AG134" s="7">
        <f t="shared" si="367"/>
        <v>0.55555555555555558</v>
      </c>
      <c r="AH134" s="44">
        <v>18</v>
      </c>
      <c r="AI134" s="41">
        <f t="shared" si="373"/>
        <v>166</v>
      </c>
      <c r="AJ134" s="7">
        <f t="shared" si="368"/>
        <v>4.4341159815156125E-3</v>
      </c>
      <c r="AK134" s="44">
        <f t="shared" si="374"/>
        <v>37437</v>
      </c>
      <c r="AL134" s="117">
        <f t="shared" si="375"/>
        <v>4.3933697604548174E-3</v>
      </c>
      <c r="AM134" s="115">
        <f t="shared" si="376"/>
        <v>0.23143676426199819</v>
      </c>
      <c r="AN134" s="7">
        <f t="shared" si="377"/>
        <v>0.72210526315789469</v>
      </c>
      <c r="AO134" s="171">
        <f t="shared" si="378"/>
        <v>8.7808359703495341E-3</v>
      </c>
      <c r="AP134" s="63">
        <f t="shared" si="379"/>
        <v>6668</v>
      </c>
      <c r="AQ134" s="3">
        <f t="shared" si="380"/>
        <v>759381</v>
      </c>
      <c r="AR134" s="116">
        <f t="shared" si="381"/>
        <v>741572</v>
      </c>
      <c r="AS134" s="3">
        <f t="shared" si="382"/>
        <v>13252</v>
      </c>
      <c r="AT134" s="26">
        <f t="shared" si="383"/>
        <v>475</v>
      </c>
      <c r="AU134" s="13"/>
      <c r="AV134" s="13"/>
      <c r="AW134" s="13"/>
      <c r="AX134" s="13"/>
    </row>
    <row r="135" spans="1:50" x14ac:dyDescent="0.15">
      <c r="A135" s="147">
        <v>39661</v>
      </c>
      <c r="B135" s="3">
        <v>551</v>
      </c>
      <c r="C135" s="115">
        <f t="shared" si="357"/>
        <v>4.5540953797834531E-3</v>
      </c>
      <c r="D135" s="107">
        <v>120990</v>
      </c>
      <c r="E135" s="42">
        <v>391</v>
      </c>
      <c r="F135" s="115">
        <f t="shared" si="358"/>
        <v>0.30146491904394757</v>
      </c>
      <c r="G135" s="40">
        <v>1297</v>
      </c>
      <c r="H135" s="13">
        <v>28</v>
      </c>
      <c r="I135" s="115">
        <f t="shared" si="359"/>
        <v>0.63636363636363635</v>
      </c>
      <c r="J135" s="13">
        <v>44</v>
      </c>
      <c r="K135" s="195">
        <f t="shared" si="369"/>
        <v>970</v>
      </c>
      <c r="L135" s="115">
        <f t="shared" si="360"/>
        <v>7.9293065535309942E-3</v>
      </c>
      <c r="M135" s="23">
        <f t="shared" si="370"/>
        <v>122331</v>
      </c>
      <c r="N135" s="64">
        <v>2333</v>
      </c>
      <c r="O135" s="67">
        <f t="shared" si="361"/>
        <v>4.0057416202220414E-3</v>
      </c>
      <c r="P135" s="3">
        <v>582414</v>
      </c>
      <c r="Q135" s="68">
        <v>2659</v>
      </c>
      <c r="R135" s="67">
        <f t="shared" si="362"/>
        <v>0.23435572007756036</v>
      </c>
      <c r="S135" s="40">
        <v>11346</v>
      </c>
      <c r="T135" s="13">
        <v>305</v>
      </c>
      <c r="U135" s="67">
        <f t="shared" si="363"/>
        <v>0.76441102756892232</v>
      </c>
      <c r="V135" s="26">
        <v>399</v>
      </c>
      <c r="W135" s="63">
        <f t="shared" si="371"/>
        <v>5297</v>
      </c>
      <c r="X135" s="67">
        <f t="shared" si="364"/>
        <v>8.9151220464555783E-3</v>
      </c>
      <c r="Y135" s="26">
        <f t="shared" si="372"/>
        <v>594159</v>
      </c>
      <c r="Z135" s="41">
        <v>123</v>
      </c>
      <c r="AA135" s="115">
        <f t="shared" si="365"/>
        <v>3.3113474222641001E-3</v>
      </c>
      <c r="AB135" s="4">
        <v>37145</v>
      </c>
      <c r="AC135" s="78">
        <v>33</v>
      </c>
      <c r="AD135" s="115">
        <f t="shared" si="366"/>
        <v>0.15942028985507245</v>
      </c>
      <c r="AE135" s="43">
        <v>207</v>
      </c>
      <c r="AF135" s="13">
        <v>8</v>
      </c>
      <c r="AG135" s="7">
        <f t="shared" si="367"/>
        <v>0.44444444444444442</v>
      </c>
      <c r="AH135" s="44">
        <v>18</v>
      </c>
      <c r="AI135" s="41">
        <f t="shared" si="373"/>
        <v>164</v>
      </c>
      <c r="AJ135" s="7">
        <f t="shared" si="368"/>
        <v>4.3885469628043884E-3</v>
      </c>
      <c r="AK135" s="44">
        <f t="shared" si="374"/>
        <v>37370</v>
      </c>
      <c r="AL135" s="25">
        <f t="shared" si="375"/>
        <v>4.0605010606995619E-3</v>
      </c>
      <c r="AM135" s="7">
        <f t="shared" si="376"/>
        <v>0.23992217898832685</v>
      </c>
      <c r="AN135" s="7">
        <f t="shared" si="377"/>
        <v>0.73969631236442512</v>
      </c>
      <c r="AO135" s="171">
        <f t="shared" si="378"/>
        <v>8.4846389905509269E-3</v>
      </c>
      <c r="AP135" s="63">
        <f t="shared" si="379"/>
        <v>6431</v>
      </c>
      <c r="AQ135" s="3">
        <f t="shared" si="380"/>
        <v>757958</v>
      </c>
      <c r="AR135" s="116">
        <f t="shared" si="381"/>
        <v>740549</v>
      </c>
      <c r="AS135" s="3">
        <f t="shared" si="382"/>
        <v>12850</v>
      </c>
      <c r="AT135" s="26">
        <f t="shared" si="383"/>
        <v>461</v>
      </c>
      <c r="AU135" s="3"/>
      <c r="AV135" s="3"/>
      <c r="AW135" s="5"/>
      <c r="AX135" s="5"/>
    </row>
    <row r="136" spans="1:50" x14ac:dyDescent="0.15">
      <c r="A136" s="147">
        <v>39630</v>
      </c>
      <c r="B136" s="3">
        <v>487</v>
      </c>
      <c r="C136" s="7">
        <f t="shared" si="357"/>
        <v>4.0113338714725796E-3</v>
      </c>
      <c r="D136" s="107">
        <v>121406</v>
      </c>
      <c r="E136" s="42">
        <v>390</v>
      </c>
      <c r="F136" s="7">
        <f t="shared" si="358"/>
        <v>0.23159144893111638</v>
      </c>
      <c r="G136" s="40">
        <v>1684</v>
      </c>
      <c r="H136" s="13">
        <v>28</v>
      </c>
      <c r="I136" s="7">
        <f t="shared" si="359"/>
        <v>0.65116279069767447</v>
      </c>
      <c r="J136" s="13">
        <v>43</v>
      </c>
      <c r="K136" s="196">
        <f t="shared" si="369"/>
        <v>905</v>
      </c>
      <c r="L136" s="8">
        <f t="shared" si="360"/>
        <v>7.3497762581923613E-3</v>
      </c>
      <c r="M136" s="23">
        <f t="shared" si="370"/>
        <v>123133</v>
      </c>
      <c r="N136" s="64">
        <v>2325</v>
      </c>
      <c r="O136" s="67">
        <f t="shared" si="361"/>
        <v>3.991334084104705E-3</v>
      </c>
      <c r="P136" s="3">
        <v>582512</v>
      </c>
      <c r="Q136" s="68">
        <v>2656</v>
      </c>
      <c r="R136" s="67">
        <f t="shared" si="362"/>
        <v>0.23431848257609175</v>
      </c>
      <c r="S136" s="40">
        <v>11335</v>
      </c>
      <c r="T136" s="13">
        <v>305</v>
      </c>
      <c r="U136" s="67">
        <f t="shared" si="363"/>
        <v>0.76441102756892232</v>
      </c>
      <c r="V136" s="26">
        <v>399</v>
      </c>
      <c r="W136" s="63">
        <f t="shared" si="371"/>
        <v>5286</v>
      </c>
      <c r="X136" s="67">
        <f t="shared" si="364"/>
        <v>8.8953059843903028E-3</v>
      </c>
      <c r="Y136" s="26">
        <f t="shared" si="372"/>
        <v>594246</v>
      </c>
      <c r="Z136" s="41">
        <v>122</v>
      </c>
      <c r="AA136" s="67">
        <f t="shared" si="365"/>
        <v>3.2818636681551622E-3</v>
      </c>
      <c r="AB136" s="4">
        <v>37174</v>
      </c>
      <c r="AC136" s="78">
        <v>33</v>
      </c>
      <c r="AD136" s="7">
        <f t="shared" si="366"/>
        <v>0.1625615763546798</v>
      </c>
      <c r="AE136" s="43">
        <v>203</v>
      </c>
      <c r="AF136" s="13">
        <v>10</v>
      </c>
      <c r="AG136" s="7">
        <f t="shared" si="367"/>
        <v>0.55555555555555558</v>
      </c>
      <c r="AH136" s="44">
        <v>18</v>
      </c>
      <c r="AI136" s="63">
        <f t="shared" si="373"/>
        <v>165</v>
      </c>
      <c r="AJ136" s="7">
        <f t="shared" si="368"/>
        <v>4.4123545928600079E-3</v>
      </c>
      <c r="AK136" s="26">
        <f t="shared" si="374"/>
        <v>37395</v>
      </c>
      <c r="AL136" s="25">
        <f t="shared" si="375"/>
        <v>3.9590226314681577E-3</v>
      </c>
      <c r="AM136" s="7">
        <f t="shared" si="376"/>
        <v>0.2328694599909242</v>
      </c>
      <c r="AN136" s="7">
        <f t="shared" si="377"/>
        <v>0.7456521739130435</v>
      </c>
      <c r="AO136" s="171">
        <f t="shared" si="378"/>
        <v>8.3763285692635137E-3</v>
      </c>
      <c r="AP136" s="63">
        <f t="shared" si="379"/>
        <v>6356</v>
      </c>
      <c r="AQ136" s="3">
        <f t="shared" si="380"/>
        <v>758805</v>
      </c>
      <c r="AR136" s="116">
        <f t="shared" si="381"/>
        <v>741092</v>
      </c>
      <c r="AS136" s="3">
        <f t="shared" si="382"/>
        <v>13222</v>
      </c>
      <c r="AT136" s="26">
        <f t="shared" si="383"/>
        <v>460</v>
      </c>
      <c r="AU136" s="5"/>
      <c r="AV136" s="5"/>
      <c r="AW136" s="5"/>
      <c r="AX136" s="5"/>
    </row>
    <row r="137" spans="1:50" x14ac:dyDescent="0.15">
      <c r="A137" s="147">
        <v>39600</v>
      </c>
      <c r="B137" s="3">
        <v>477</v>
      </c>
      <c r="C137" s="7">
        <f t="shared" si="357"/>
        <v>3.944952610946623E-3</v>
      </c>
      <c r="D137" s="107">
        <v>120914</v>
      </c>
      <c r="E137" s="42">
        <v>394</v>
      </c>
      <c r="F137" s="7">
        <f t="shared" si="358"/>
        <v>0.23466349017272187</v>
      </c>
      <c r="G137" s="40">
        <v>1679</v>
      </c>
      <c r="H137" s="13">
        <v>30</v>
      </c>
      <c r="I137" s="7">
        <f t="shared" si="359"/>
        <v>0.68181818181818177</v>
      </c>
      <c r="J137" s="13">
        <v>44</v>
      </c>
      <c r="K137" s="196">
        <f t="shared" si="369"/>
        <v>901</v>
      </c>
      <c r="L137" s="8">
        <f t="shared" si="360"/>
        <v>7.3468855239446499E-3</v>
      </c>
      <c r="M137" s="23">
        <f t="shared" si="370"/>
        <v>122637</v>
      </c>
      <c r="N137" s="64">
        <v>2186</v>
      </c>
      <c r="O137" s="67">
        <f t="shared" si="361"/>
        <v>3.7517978079615005E-3</v>
      </c>
      <c r="P137" s="3">
        <v>582654</v>
      </c>
      <c r="Q137" s="68">
        <v>2683</v>
      </c>
      <c r="R137" s="67">
        <f t="shared" si="362"/>
        <v>0.23684675141242939</v>
      </c>
      <c r="S137" s="40">
        <v>11328</v>
      </c>
      <c r="T137" s="13">
        <v>308</v>
      </c>
      <c r="U137" s="67">
        <f t="shared" si="363"/>
        <v>0.77192982456140347</v>
      </c>
      <c r="V137" s="26">
        <v>399</v>
      </c>
      <c r="W137" s="63">
        <f t="shared" si="371"/>
        <v>5177</v>
      </c>
      <c r="X137" s="67">
        <f t="shared" si="364"/>
        <v>8.7099015614563718E-3</v>
      </c>
      <c r="Y137" s="26">
        <f t="shared" si="372"/>
        <v>594381</v>
      </c>
      <c r="Z137" s="41">
        <v>122</v>
      </c>
      <c r="AA137" s="67">
        <f t="shared" si="365"/>
        <v>3.2813340505648196E-3</v>
      </c>
      <c r="AB137" s="4">
        <v>37180</v>
      </c>
      <c r="AC137" s="78">
        <v>33</v>
      </c>
      <c r="AD137" s="7">
        <f t="shared" si="366"/>
        <v>0.1625615763546798</v>
      </c>
      <c r="AE137" s="43">
        <v>203</v>
      </c>
      <c r="AF137" s="13">
        <v>10</v>
      </c>
      <c r="AG137" s="7">
        <f t="shared" si="367"/>
        <v>0.55555555555555558</v>
      </c>
      <c r="AH137" s="44">
        <v>18</v>
      </c>
      <c r="AI137" s="63">
        <f t="shared" si="373"/>
        <v>165</v>
      </c>
      <c r="AJ137" s="7">
        <f t="shared" si="368"/>
        <v>4.4116467474131704E-3</v>
      </c>
      <c r="AK137" s="26">
        <f t="shared" si="374"/>
        <v>37401</v>
      </c>
      <c r="AL137" s="25">
        <f t="shared" si="375"/>
        <v>3.7597131548110828E-3</v>
      </c>
      <c r="AM137" s="7">
        <f t="shared" si="376"/>
        <v>0.23542770628311885</v>
      </c>
      <c r="AN137" s="7">
        <f t="shared" si="377"/>
        <v>0.75488069414316705</v>
      </c>
      <c r="AO137" s="171">
        <f t="shared" si="378"/>
        <v>8.2309789630785942E-3</v>
      </c>
      <c r="AP137" s="63">
        <f t="shared" si="379"/>
        <v>6243</v>
      </c>
      <c r="AQ137" s="3">
        <f t="shared" si="380"/>
        <v>758476</v>
      </c>
      <c r="AR137" s="116">
        <f t="shared" si="381"/>
        <v>740748</v>
      </c>
      <c r="AS137" s="3">
        <f t="shared" si="382"/>
        <v>13210</v>
      </c>
      <c r="AT137" s="26">
        <f t="shared" si="383"/>
        <v>461</v>
      </c>
      <c r="AU137" s="5"/>
      <c r="AV137" s="5"/>
      <c r="AW137" s="5"/>
      <c r="AX137" s="5"/>
    </row>
    <row r="138" spans="1:50" x14ac:dyDescent="0.15">
      <c r="A138" s="147">
        <v>39569</v>
      </c>
      <c r="B138" s="3">
        <v>477</v>
      </c>
      <c r="C138" s="7">
        <f t="shared" si="357"/>
        <v>3.9798421412718804E-3</v>
      </c>
      <c r="D138" s="107">
        <v>119854</v>
      </c>
      <c r="E138" s="42">
        <v>397</v>
      </c>
      <c r="F138" s="7">
        <f t="shared" si="358"/>
        <v>0.23886883273164861</v>
      </c>
      <c r="G138" s="40">
        <v>1662</v>
      </c>
      <c r="H138" s="13">
        <v>30</v>
      </c>
      <c r="I138" s="7">
        <f t="shared" si="359"/>
        <v>0.68181818181818177</v>
      </c>
      <c r="J138" s="13">
        <v>44</v>
      </c>
      <c r="K138" s="196">
        <f t="shared" si="369"/>
        <v>904</v>
      </c>
      <c r="L138" s="8">
        <f t="shared" si="360"/>
        <v>7.4366567949983543E-3</v>
      </c>
      <c r="M138" s="23">
        <f t="shared" si="370"/>
        <v>121560</v>
      </c>
      <c r="N138" s="64">
        <v>2009</v>
      </c>
      <c r="O138" s="67">
        <f t="shared" si="361"/>
        <v>3.4437245020398368E-3</v>
      </c>
      <c r="P138" s="3">
        <v>583380</v>
      </c>
      <c r="Q138" s="68">
        <v>2705</v>
      </c>
      <c r="R138" s="67">
        <f t="shared" si="362"/>
        <v>0.23902094194574533</v>
      </c>
      <c r="S138" s="40">
        <v>11317</v>
      </c>
      <c r="T138" s="13">
        <v>311</v>
      </c>
      <c r="U138" s="67">
        <f t="shared" si="363"/>
        <v>0.77749999999999997</v>
      </c>
      <c r="V138" s="26">
        <v>400</v>
      </c>
      <c r="W138" s="63">
        <f t="shared" si="371"/>
        <v>5025</v>
      </c>
      <c r="X138" s="67">
        <f t="shared" si="364"/>
        <v>8.4440015661312352E-3</v>
      </c>
      <c r="Y138" s="26">
        <f t="shared" si="372"/>
        <v>595097</v>
      </c>
      <c r="Z138" s="41">
        <v>123</v>
      </c>
      <c r="AA138" s="67">
        <f t="shared" si="365"/>
        <v>3.3046749059645352E-3</v>
      </c>
      <c r="AB138" s="4">
        <v>37220</v>
      </c>
      <c r="AC138" s="78">
        <v>33</v>
      </c>
      <c r="AD138" s="7">
        <f t="shared" si="366"/>
        <v>0.16336633663366337</v>
      </c>
      <c r="AE138" s="43">
        <v>202</v>
      </c>
      <c r="AF138" s="13">
        <v>10</v>
      </c>
      <c r="AG138" s="7">
        <f t="shared" si="367"/>
        <v>0.55555555555555558</v>
      </c>
      <c r="AH138" s="44">
        <v>18</v>
      </c>
      <c r="AI138" s="63">
        <f t="shared" si="373"/>
        <v>166</v>
      </c>
      <c r="AJ138" s="7">
        <f t="shared" si="368"/>
        <v>4.4337606837606836E-3</v>
      </c>
      <c r="AK138" s="26">
        <f t="shared" si="374"/>
        <v>37440</v>
      </c>
      <c r="AL138" s="25">
        <f t="shared" si="375"/>
        <v>3.5235139522509164E-3</v>
      </c>
      <c r="AM138" s="7">
        <f t="shared" si="376"/>
        <v>0.23784234883544497</v>
      </c>
      <c r="AN138" s="7">
        <f t="shared" si="377"/>
        <v>0.75974025974025972</v>
      </c>
      <c r="AO138" s="171">
        <f t="shared" si="378"/>
        <v>8.0389562941928262E-3</v>
      </c>
      <c r="AP138" s="63">
        <f t="shared" si="379"/>
        <v>6095</v>
      </c>
      <c r="AQ138" s="3">
        <f t="shared" si="380"/>
        <v>758183</v>
      </c>
      <c r="AR138" s="116">
        <f t="shared" si="381"/>
        <v>740454</v>
      </c>
      <c r="AS138" s="3">
        <f t="shared" si="382"/>
        <v>13181</v>
      </c>
      <c r="AT138" s="26">
        <f t="shared" si="383"/>
        <v>462</v>
      </c>
      <c r="AU138" s="5"/>
      <c r="AV138" s="5"/>
      <c r="AW138" s="5"/>
      <c r="AX138" s="5"/>
    </row>
    <row r="139" spans="1:50" x14ac:dyDescent="0.15">
      <c r="A139" s="147">
        <v>39539</v>
      </c>
      <c r="B139" s="3">
        <v>518</v>
      </c>
      <c r="C139" s="7">
        <f t="shared" si="357"/>
        <v>4.3397759737267613E-3</v>
      </c>
      <c r="D139" s="107">
        <v>119361</v>
      </c>
      <c r="E139" s="42">
        <v>401</v>
      </c>
      <c r="F139" s="7">
        <f t="shared" si="358"/>
        <v>0.24692118226600984</v>
      </c>
      <c r="G139" s="40">
        <v>1624</v>
      </c>
      <c r="H139" s="13">
        <v>30</v>
      </c>
      <c r="I139" s="7">
        <f t="shared" si="359"/>
        <v>0.69767441860465118</v>
      </c>
      <c r="J139" s="13">
        <v>43</v>
      </c>
      <c r="K139" s="196">
        <f t="shared" si="369"/>
        <v>949</v>
      </c>
      <c r="L139" s="8">
        <f t="shared" si="360"/>
        <v>7.8411607231384465E-3</v>
      </c>
      <c r="M139" s="23">
        <f t="shared" si="370"/>
        <v>121028</v>
      </c>
      <c r="N139" s="64">
        <v>2455</v>
      </c>
      <c r="O139" s="67">
        <f t="shared" si="361"/>
        <v>4.209194389341051E-3</v>
      </c>
      <c r="P139" s="3">
        <v>583247</v>
      </c>
      <c r="Q139" s="68">
        <v>2745</v>
      </c>
      <c r="R139" s="67">
        <f t="shared" si="362"/>
        <v>0.24219163578613023</v>
      </c>
      <c r="S139" s="40">
        <v>11334</v>
      </c>
      <c r="T139" s="13">
        <v>311</v>
      </c>
      <c r="U139" s="67">
        <f t="shared" si="363"/>
        <v>0.77749999999999997</v>
      </c>
      <c r="V139" s="26">
        <v>400</v>
      </c>
      <c r="W139" s="63">
        <f t="shared" si="371"/>
        <v>5511</v>
      </c>
      <c r="X139" s="67">
        <f t="shared" si="364"/>
        <v>9.2624806506426249E-3</v>
      </c>
      <c r="Y139" s="26">
        <f t="shared" si="372"/>
        <v>594981</v>
      </c>
      <c r="Z139" s="41">
        <v>124</v>
      </c>
      <c r="AA139" s="67">
        <f t="shared" si="365"/>
        <v>3.3286803393106409E-3</v>
      </c>
      <c r="AB139" s="4">
        <v>37252</v>
      </c>
      <c r="AC139" s="78">
        <v>33</v>
      </c>
      <c r="AD139" s="7">
        <f t="shared" si="366"/>
        <v>0.1625615763546798</v>
      </c>
      <c r="AE139" s="43">
        <v>203</v>
      </c>
      <c r="AF139" s="13">
        <v>10</v>
      </c>
      <c r="AG139" s="7">
        <f t="shared" si="367"/>
        <v>0.55555555555555558</v>
      </c>
      <c r="AH139" s="44">
        <v>18</v>
      </c>
      <c r="AI139" s="63">
        <f t="shared" si="373"/>
        <v>167</v>
      </c>
      <c r="AJ139" s="7">
        <f t="shared" si="368"/>
        <v>4.4565420436047292E-3</v>
      </c>
      <c r="AK139" s="26">
        <f t="shared" si="374"/>
        <v>37473</v>
      </c>
      <c r="AL139" s="25">
        <f t="shared" si="375"/>
        <v>4.1859270672829994E-3</v>
      </c>
      <c r="AM139" s="7">
        <f t="shared" si="376"/>
        <v>0.24154699490920142</v>
      </c>
      <c r="AN139" s="7">
        <f t="shared" si="377"/>
        <v>0.76138828633405642</v>
      </c>
      <c r="AO139" s="171">
        <f t="shared" si="378"/>
        <v>8.746736637040127E-3</v>
      </c>
      <c r="AP139" s="63">
        <f t="shared" si="379"/>
        <v>6627</v>
      </c>
      <c r="AQ139" s="3">
        <f t="shared" si="380"/>
        <v>757654</v>
      </c>
      <c r="AR139" s="116">
        <f t="shared" si="381"/>
        <v>739860</v>
      </c>
      <c r="AS139" s="3">
        <f t="shared" si="382"/>
        <v>13161</v>
      </c>
      <c r="AT139" s="26">
        <f t="shared" si="383"/>
        <v>461</v>
      </c>
      <c r="AU139" s="5"/>
      <c r="AV139" s="5"/>
      <c r="AW139" s="5"/>
      <c r="AX139" s="5"/>
    </row>
    <row r="140" spans="1:50" x14ac:dyDescent="0.15">
      <c r="A140" s="147">
        <v>39508</v>
      </c>
      <c r="B140" s="3">
        <v>620</v>
      </c>
      <c r="C140" s="7">
        <f t="shared" si="357"/>
        <v>5.1964161491203807E-3</v>
      </c>
      <c r="D140" s="3">
        <v>119313</v>
      </c>
      <c r="E140" s="42">
        <v>410</v>
      </c>
      <c r="F140" s="7">
        <f t="shared" si="358"/>
        <v>0.25324274243360101</v>
      </c>
      <c r="G140" s="40">
        <v>1619</v>
      </c>
      <c r="H140" s="13">
        <v>28</v>
      </c>
      <c r="I140" s="7">
        <f t="shared" si="359"/>
        <v>0.7</v>
      </c>
      <c r="J140" s="13">
        <v>40</v>
      </c>
      <c r="K140" s="196">
        <f t="shared" si="369"/>
        <v>1058</v>
      </c>
      <c r="L140" s="8">
        <f t="shared" si="360"/>
        <v>8.7458254802764267E-3</v>
      </c>
      <c r="M140" s="23">
        <f t="shared" si="370"/>
        <v>120972</v>
      </c>
      <c r="N140" s="64">
        <v>2995</v>
      </c>
      <c r="O140" s="67">
        <f t="shared" si="361"/>
        <v>5.1360495804559161E-3</v>
      </c>
      <c r="P140" s="3">
        <v>583133</v>
      </c>
      <c r="Q140" s="68">
        <v>2737</v>
      </c>
      <c r="R140" s="67">
        <f t="shared" si="362"/>
        <v>0.24150710315009266</v>
      </c>
      <c r="S140" s="40">
        <v>11333</v>
      </c>
      <c r="T140" s="13">
        <v>310</v>
      </c>
      <c r="U140" s="67">
        <f t="shared" si="363"/>
        <v>0.77694235588972427</v>
      </c>
      <c r="V140" s="26">
        <v>399</v>
      </c>
      <c r="W140" s="63">
        <f t="shared" si="371"/>
        <v>6042</v>
      </c>
      <c r="X140" s="67">
        <f t="shared" si="364"/>
        <v>1.0156926361443353E-2</v>
      </c>
      <c r="Y140" s="26">
        <f t="shared" si="372"/>
        <v>594865</v>
      </c>
      <c r="Z140" s="41">
        <v>124</v>
      </c>
      <c r="AA140" s="67">
        <f t="shared" si="365"/>
        <v>3.3268049258176158E-3</v>
      </c>
      <c r="AB140" s="4">
        <v>37273</v>
      </c>
      <c r="AC140" s="78">
        <v>33</v>
      </c>
      <c r="AD140" s="7">
        <f t="shared" si="366"/>
        <v>0.16176470588235295</v>
      </c>
      <c r="AE140" s="43">
        <v>204</v>
      </c>
      <c r="AF140" s="13">
        <v>10</v>
      </c>
      <c r="AG140" s="7">
        <f t="shared" si="367"/>
        <v>0.55555555555555558</v>
      </c>
      <c r="AH140" s="44">
        <v>18</v>
      </c>
      <c r="AI140" s="63">
        <f t="shared" si="373"/>
        <v>167</v>
      </c>
      <c r="AJ140" s="7">
        <f t="shared" si="368"/>
        <v>4.453927190292039E-3</v>
      </c>
      <c r="AK140" s="26">
        <f t="shared" si="374"/>
        <v>37495</v>
      </c>
      <c r="AL140" s="25">
        <f t="shared" si="375"/>
        <v>5.0546220929839573E-3</v>
      </c>
      <c r="AM140" s="7">
        <f t="shared" si="376"/>
        <v>0.24171480693219824</v>
      </c>
      <c r="AN140" s="7">
        <f t="shared" si="377"/>
        <v>0.76148796498905913</v>
      </c>
      <c r="AO140" s="171">
        <f t="shared" si="378"/>
        <v>9.5920824071678602E-3</v>
      </c>
      <c r="AP140" s="63">
        <f t="shared" si="379"/>
        <v>7267</v>
      </c>
      <c r="AQ140" s="3">
        <f t="shared" si="380"/>
        <v>757604</v>
      </c>
      <c r="AR140" s="116">
        <f t="shared" si="381"/>
        <v>739719</v>
      </c>
      <c r="AS140" s="3">
        <f t="shared" si="382"/>
        <v>13156</v>
      </c>
      <c r="AT140" s="26">
        <f t="shared" si="383"/>
        <v>457</v>
      </c>
      <c r="AU140" s="5"/>
      <c r="AV140" s="5"/>
      <c r="AW140" s="5"/>
      <c r="AX140" s="5"/>
    </row>
    <row r="141" spans="1:50" x14ac:dyDescent="0.15">
      <c r="A141" s="147">
        <v>39479</v>
      </c>
      <c r="B141" s="3">
        <v>615</v>
      </c>
      <c r="C141" s="7">
        <f t="shared" si="357"/>
        <v>5.152523060682479E-3</v>
      </c>
      <c r="D141" s="3">
        <v>119359</v>
      </c>
      <c r="E141" s="42">
        <v>408</v>
      </c>
      <c r="F141" s="7">
        <f t="shared" si="358"/>
        <v>0.254840724547158</v>
      </c>
      <c r="G141" s="40">
        <v>1601</v>
      </c>
      <c r="H141" s="13">
        <v>28</v>
      </c>
      <c r="I141" s="7">
        <f t="shared" si="359"/>
        <v>0.7</v>
      </c>
      <c r="J141" s="13">
        <v>40</v>
      </c>
      <c r="K141" s="196">
        <f t="shared" si="369"/>
        <v>1051</v>
      </c>
      <c r="L141" s="8">
        <f t="shared" si="360"/>
        <v>8.685950413223141E-3</v>
      </c>
      <c r="M141" s="23">
        <f t="shared" si="370"/>
        <v>121000</v>
      </c>
      <c r="N141" s="64">
        <v>2983</v>
      </c>
      <c r="O141" s="67">
        <f t="shared" si="361"/>
        <v>5.1187804158172546E-3</v>
      </c>
      <c r="P141" s="3">
        <v>582756</v>
      </c>
      <c r="Q141" s="68">
        <v>2752</v>
      </c>
      <c r="R141" s="67">
        <f t="shared" si="362"/>
        <v>0.24353982300884955</v>
      </c>
      <c r="S141" s="40">
        <v>11300</v>
      </c>
      <c r="T141" s="13">
        <v>318</v>
      </c>
      <c r="U141" s="67">
        <f t="shared" si="363"/>
        <v>0.79104477611940294</v>
      </c>
      <c r="V141" s="26">
        <v>402</v>
      </c>
      <c r="W141" s="63">
        <f t="shared" si="371"/>
        <v>6053</v>
      </c>
      <c r="X141" s="67">
        <f t="shared" si="364"/>
        <v>1.0182384625995444E-2</v>
      </c>
      <c r="Y141" s="26">
        <f t="shared" si="372"/>
        <v>594458</v>
      </c>
      <c r="Z141" s="41">
        <v>123</v>
      </c>
      <c r="AA141" s="67">
        <f t="shared" si="365"/>
        <v>3.2992677235052707E-3</v>
      </c>
      <c r="AB141" s="4">
        <v>37281</v>
      </c>
      <c r="AC141" s="78">
        <v>34</v>
      </c>
      <c r="AD141" s="7">
        <f t="shared" si="366"/>
        <v>0.16585365853658537</v>
      </c>
      <c r="AE141" s="43">
        <v>205</v>
      </c>
      <c r="AF141" s="13">
        <v>10</v>
      </c>
      <c r="AG141" s="7">
        <f t="shared" si="367"/>
        <v>0.55555555555555558</v>
      </c>
      <c r="AH141" s="44">
        <v>18</v>
      </c>
      <c r="AI141" s="63">
        <f t="shared" si="373"/>
        <v>167</v>
      </c>
      <c r="AJ141" s="7">
        <f t="shared" si="368"/>
        <v>4.4528583617747444E-3</v>
      </c>
      <c r="AK141" s="26">
        <f t="shared" si="374"/>
        <v>37504</v>
      </c>
      <c r="AL141" s="25">
        <f t="shared" si="375"/>
        <v>5.0324859750390857E-3</v>
      </c>
      <c r="AM141" s="7">
        <f t="shared" si="376"/>
        <v>0.24370517320311308</v>
      </c>
      <c r="AN141" s="7">
        <f t="shared" si="377"/>
        <v>0.77391304347826084</v>
      </c>
      <c r="AO141" s="171">
        <f t="shared" si="378"/>
        <v>9.6018487949818421E-3</v>
      </c>
      <c r="AP141" s="63">
        <f t="shared" si="379"/>
        <v>7271</v>
      </c>
      <c r="AQ141" s="3">
        <f t="shared" si="380"/>
        <v>757250</v>
      </c>
      <c r="AR141" s="116">
        <f t="shared" si="381"/>
        <v>739396</v>
      </c>
      <c r="AS141" s="3">
        <f t="shared" si="382"/>
        <v>13106</v>
      </c>
      <c r="AT141" s="26">
        <f t="shared" si="383"/>
        <v>460</v>
      </c>
      <c r="AU141" s="5"/>
      <c r="AV141" s="5"/>
      <c r="AW141" s="5"/>
      <c r="AX141" s="5"/>
    </row>
    <row r="142" spans="1:50" x14ac:dyDescent="0.15">
      <c r="A142" s="147">
        <v>39448</v>
      </c>
      <c r="B142" s="3">
        <v>609</v>
      </c>
      <c r="C142" s="7">
        <f t="shared" si="357"/>
        <v>5.1022545430172836E-3</v>
      </c>
      <c r="D142" s="3">
        <v>119359</v>
      </c>
      <c r="E142" s="42">
        <v>404</v>
      </c>
      <c r="F142" s="7">
        <f t="shared" si="358"/>
        <v>0.25667090216010163</v>
      </c>
      <c r="G142" s="40">
        <v>1574</v>
      </c>
      <c r="H142" s="13">
        <v>29</v>
      </c>
      <c r="I142" s="7">
        <f t="shared" si="359"/>
        <v>0.72499999999999998</v>
      </c>
      <c r="J142" s="13">
        <v>40</v>
      </c>
      <c r="K142" s="196">
        <f t="shared" si="369"/>
        <v>1042</v>
      </c>
      <c r="L142" s="8">
        <f t="shared" si="360"/>
        <v>8.6134922668694661E-3</v>
      </c>
      <c r="M142" s="23">
        <f t="shared" si="370"/>
        <v>120973</v>
      </c>
      <c r="N142" s="64">
        <v>2959</v>
      </c>
      <c r="O142" s="67">
        <f t="shared" si="361"/>
        <v>5.0806307605664762E-3</v>
      </c>
      <c r="P142" s="3">
        <v>582408</v>
      </c>
      <c r="Q142" s="68">
        <v>2740</v>
      </c>
      <c r="R142" s="67">
        <f t="shared" si="362"/>
        <v>0.24215642951833849</v>
      </c>
      <c r="S142" s="40">
        <v>11315</v>
      </c>
      <c r="T142" s="13">
        <v>318</v>
      </c>
      <c r="U142" s="67">
        <f t="shared" si="363"/>
        <v>0.78908188585607941</v>
      </c>
      <c r="V142" s="26">
        <v>403</v>
      </c>
      <c r="W142" s="63">
        <f t="shared" si="371"/>
        <v>6017</v>
      </c>
      <c r="X142" s="67">
        <f t="shared" si="364"/>
        <v>1.0127481376004416E-2</v>
      </c>
      <c r="Y142" s="26">
        <f t="shared" si="372"/>
        <v>594126</v>
      </c>
      <c r="Z142" s="41">
        <v>125</v>
      </c>
      <c r="AA142" s="67">
        <f t="shared" si="365"/>
        <v>3.3510267545976088E-3</v>
      </c>
      <c r="AB142" s="4">
        <v>37302</v>
      </c>
      <c r="AC142" s="78">
        <v>34</v>
      </c>
      <c r="AD142" s="7">
        <f t="shared" si="366"/>
        <v>0.16748768472906403</v>
      </c>
      <c r="AE142" s="43">
        <v>203</v>
      </c>
      <c r="AF142" s="13">
        <v>10</v>
      </c>
      <c r="AG142" s="7">
        <f t="shared" si="367"/>
        <v>0.55555555555555558</v>
      </c>
      <c r="AH142" s="44">
        <v>18</v>
      </c>
      <c r="AI142" s="63">
        <f t="shared" si="373"/>
        <v>169</v>
      </c>
      <c r="AJ142" s="7">
        <f t="shared" si="368"/>
        <v>4.5039042720464778E-3</v>
      </c>
      <c r="AK142" s="26">
        <f t="shared" si="374"/>
        <v>37523</v>
      </c>
      <c r="AL142" s="25">
        <f t="shared" si="375"/>
        <v>4.9968270892162981E-3</v>
      </c>
      <c r="AM142" s="7">
        <f t="shared" si="376"/>
        <v>0.24274366025053468</v>
      </c>
      <c r="AN142" s="7">
        <f t="shared" si="377"/>
        <v>0.77440347071583515</v>
      </c>
      <c r="AO142" s="171">
        <f t="shared" si="378"/>
        <v>9.5495916849321766E-3</v>
      </c>
      <c r="AP142" s="63">
        <f t="shared" si="379"/>
        <v>7228</v>
      </c>
      <c r="AQ142" s="3">
        <f t="shared" si="380"/>
        <v>756891</v>
      </c>
      <c r="AR142" s="116">
        <f t="shared" si="381"/>
        <v>739069</v>
      </c>
      <c r="AS142" s="3">
        <f t="shared" si="382"/>
        <v>13092</v>
      </c>
      <c r="AT142" s="26">
        <f t="shared" si="383"/>
        <v>461</v>
      </c>
      <c r="AU142" s="5"/>
      <c r="AV142" s="5"/>
      <c r="AW142" s="5"/>
      <c r="AX142" s="5"/>
    </row>
    <row r="143" spans="1:50" x14ac:dyDescent="0.15">
      <c r="A143" s="147">
        <v>39417</v>
      </c>
      <c r="B143" s="3">
        <v>583</v>
      </c>
      <c r="C143" s="7">
        <f t="shared" si="357"/>
        <v>4.8770694083102584E-3</v>
      </c>
      <c r="D143" s="3">
        <v>119539</v>
      </c>
      <c r="E143" s="42">
        <v>409</v>
      </c>
      <c r="F143" s="7">
        <f t="shared" si="358"/>
        <v>0.25771896660365468</v>
      </c>
      <c r="G143" s="40">
        <v>1587</v>
      </c>
      <c r="H143" s="13">
        <v>29</v>
      </c>
      <c r="I143" s="7">
        <f t="shared" si="359"/>
        <v>0.72499999999999998</v>
      </c>
      <c r="J143" s="13">
        <v>40</v>
      </c>
      <c r="K143" s="196">
        <f t="shared" si="369"/>
        <v>1021</v>
      </c>
      <c r="L143" s="8">
        <f t="shared" si="360"/>
        <v>8.4264562666094452E-3</v>
      </c>
      <c r="M143" s="23">
        <f t="shared" si="370"/>
        <v>121166</v>
      </c>
      <c r="N143" s="64">
        <v>2952</v>
      </c>
      <c r="O143" s="67">
        <f t="shared" si="361"/>
        <v>5.0739347229360066E-3</v>
      </c>
      <c r="P143" s="3">
        <v>581797</v>
      </c>
      <c r="Q143" s="68">
        <v>2800</v>
      </c>
      <c r="R143" s="67">
        <f t="shared" si="362"/>
        <v>0.24628375406807987</v>
      </c>
      <c r="S143" s="40">
        <v>11369</v>
      </c>
      <c r="T143" s="13">
        <v>330</v>
      </c>
      <c r="U143" s="67">
        <f t="shared" si="363"/>
        <v>0.80487804878048785</v>
      </c>
      <c r="V143" s="26">
        <v>410</v>
      </c>
      <c r="W143" s="63">
        <f t="shared" si="371"/>
        <v>6082</v>
      </c>
      <c r="X143" s="67">
        <f t="shared" si="364"/>
        <v>1.0246371147081419E-2</v>
      </c>
      <c r="Y143" s="26">
        <f t="shared" si="372"/>
        <v>593576</v>
      </c>
      <c r="Z143" s="41">
        <v>125</v>
      </c>
      <c r="AA143" s="67">
        <f t="shared" si="365"/>
        <v>3.3511165920484705E-3</v>
      </c>
      <c r="AB143" s="4">
        <v>37301</v>
      </c>
      <c r="AC143" s="78">
        <v>34</v>
      </c>
      <c r="AD143" s="7">
        <f t="shared" si="366"/>
        <v>0.1650485436893204</v>
      </c>
      <c r="AE143" s="43">
        <v>206</v>
      </c>
      <c r="AF143" s="13">
        <v>10</v>
      </c>
      <c r="AG143" s="7">
        <f t="shared" si="367"/>
        <v>0.55555555555555558</v>
      </c>
      <c r="AH143" s="44">
        <v>18</v>
      </c>
      <c r="AI143" s="63">
        <f t="shared" si="373"/>
        <v>169</v>
      </c>
      <c r="AJ143" s="7">
        <f t="shared" si="368"/>
        <v>4.5036642238507662E-3</v>
      </c>
      <c r="AK143" s="26">
        <f t="shared" si="374"/>
        <v>37525</v>
      </c>
      <c r="AL143" s="25">
        <f t="shared" si="375"/>
        <v>4.9550726540912521E-3</v>
      </c>
      <c r="AM143" s="7">
        <f t="shared" si="376"/>
        <v>0.24639112596869778</v>
      </c>
      <c r="AN143" s="7">
        <f t="shared" si="377"/>
        <v>0.78846153846153844</v>
      </c>
      <c r="AO143" s="171">
        <f t="shared" si="378"/>
        <v>9.6115846558294023E-3</v>
      </c>
      <c r="AP143" s="63">
        <f t="shared" si="379"/>
        <v>7272</v>
      </c>
      <c r="AQ143" s="3">
        <f t="shared" si="380"/>
        <v>756587</v>
      </c>
      <c r="AR143" s="116">
        <f t="shared" si="381"/>
        <v>738637</v>
      </c>
      <c r="AS143" s="3">
        <f t="shared" si="382"/>
        <v>13162</v>
      </c>
      <c r="AT143" s="26">
        <f t="shared" si="383"/>
        <v>468</v>
      </c>
      <c r="AU143" s="5"/>
      <c r="AV143" s="5"/>
      <c r="AW143" s="5"/>
      <c r="AX143" s="5"/>
    </row>
    <row r="144" spans="1:50" x14ac:dyDescent="0.15">
      <c r="A144" s="147">
        <v>39387</v>
      </c>
      <c r="B144" s="3">
        <v>581</v>
      </c>
      <c r="C144" s="7">
        <f t="shared" si="357"/>
        <v>4.8377964295230483E-3</v>
      </c>
      <c r="D144" s="3">
        <v>120096</v>
      </c>
      <c r="E144" s="42">
        <v>406</v>
      </c>
      <c r="F144" s="7">
        <f t="shared" si="358"/>
        <v>0.25123762376237624</v>
      </c>
      <c r="G144" s="40">
        <v>1616</v>
      </c>
      <c r="H144" s="13">
        <v>28</v>
      </c>
      <c r="I144" s="7">
        <f t="shared" si="359"/>
        <v>0.7</v>
      </c>
      <c r="J144" s="13">
        <v>40</v>
      </c>
      <c r="K144" s="196">
        <f t="shared" si="369"/>
        <v>1015</v>
      </c>
      <c r="L144" s="8">
        <f t="shared" si="360"/>
        <v>8.3366187003088253E-3</v>
      </c>
      <c r="M144" s="23">
        <f t="shared" si="370"/>
        <v>121752</v>
      </c>
      <c r="N144" s="64">
        <v>2926</v>
      </c>
      <c r="O144" s="67">
        <f t="shared" si="361"/>
        <v>5.0388591444272043E-3</v>
      </c>
      <c r="P144" s="3">
        <v>580687</v>
      </c>
      <c r="Q144" s="68">
        <v>2813</v>
      </c>
      <c r="R144" s="67">
        <f t="shared" si="362"/>
        <v>0.24773227653016291</v>
      </c>
      <c r="S144" s="40">
        <v>11355</v>
      </c>
      <c r="T144" s="13">
        <v>332</v>
      </c>
      <c r="U144" s="67">
        <f t="shared" si="363"/>
        <v>0.80193236714975846</v>
      </c>
      <c r="V144" s="26">
        <v>414</v>
      </c>
      <c r="W144" s="63">
        <f t="shared" si="371"/>
        <v>6071</v>
      </c>
      <c r="X144" s="67">
        <f t="shared" si="364"/>
        <v>1.0247174473716191E-2</v>
      </c>
      <c r="Y144" s="26">
        <f t="shared" si="372"/>
        <v>592456</v>
      </c>
      <c r="Z144" s="41">
        <v>125</v>
      </c>
      <c r="AA144" s="67">
        <f t="shared" si="365"/>
        <v>3.3556146143727686E-3</v>
      </c>
      <c r="AB144" s="4">
        <v>37251</v>
      </c>
      <c r="AC144" s="78">
        <v>34</v>
      </c>
      <c r="AD144" s="7">
        <f t="shared" si="366"/>
        <v>0.16190476190476191</v>
      </c>
      <c r="AE144" s="43">
        <v>210</v>
      </c>
      <c r="AF144" s="13">
        <v>10</v>
      </c>
      <c r="AG144" s="7">
        <f t="shared" si="367"/>
        <v>0.55555555555555558</v>
      </c>
      <c r="AH144" s="44">
        <v>18</v>
      </c>
      <c r="AI144" s="63">
        <f t="shared" si="373"/>
        <v>169</v>
      </c>
      <c r="AJ144" s="7">
        <f t="shared" si="368"/>
        <v>4.5091918140825532E-3</v>
      </c>
      <c r="AK144" s="26">
        <f t="shared" si="374"/>
        <v>37479</v>
      </c>
      <c r="AL144" s="25">
        <f t="shared" si="375"/>
        <v>4.9211824929474794E-3</v>
      </c>
      <c r="AM144" s="7">
        <f t="shared" si="376"/>
        <v>0.24679462863212198</v>
      </c>
      <c r="AN144" s="7">
        <f t="shared" si="377"/>
        <v>0.78389830508474578</v>
      </c>
      <c r="AO144" s="171">
        <f t="shared" si="378"/>
        <v>9.5963577490423488E-3</v>
      </c>
      <c r="AP144" s="63">
        <f t="shared" si="379"/>
        <v>7255</v>
      </c>
      <c r="AQ144" s="3">
        <f t="shared" si="380"/>
        <v>756016</v>
      </c>
      <c r="AR144" s="116">
        <f t="shared" si="381"/>
        <v>738034</v>
      </c>
      <c r="AS144" s="3">
        <f t="shared" si="382"/>
        <v>13181</v>
      </c>
      <c r="AT144" s="26">
        <f t="shared" si="383"/>
        <v>472</v>
      </c>
      <c r="AU144" s="5"/>
      <c r="AV144" s="5"/>
      <c r="AW144" s="5"/>
      <c r="AX144" s="5"/>
    </row>
    <row r="145" spans="1:50" x14ac:dyDescent="0.15">
      <c r="A145" s="147">
        <v>39356</v>
      </c>
      <c r="B145" s="3">
        <v>566</v>
      </c>
      <c r="C145" s="7">
        <f t="shared" si="357"/>
        <v>4.6802775090339279E-3</v>
      </c>
      <c r="D145" s="3">
        <v>120933</v>
      </c>
      <c r="E145" s="42">
        <v>401</v>
      </c>
      <c r="F145" s="7">
        <f t="shared" si="358"/>
        <v>0.24707332101047444</v>
      </c>
      <c r="G145" s="40">
        <v>1623</v>
      </c>
      <c r="H145" s="13">
        <v>27</v>
      </c>
      <c r="I145" s="7">
        <f t="shared" si="359"/>
        <v>0.67500000000000004</v>
      </c>
      <c r="J145" s="13">
        <v>40</v>
      </c>
      <c r="K145" s="196">
        <f t="shared" si="369"/>
        <v>994</v>
      </c>
      <c r="L145" s="8">
        <f t="shared" si="360"/>
        <v>8.1079317432868944E-3</v>
      </c>
      <c r="M145" s="23">
        <f t="shared" si="370"/>
        <v>122596</v>
      </c>
      <c r="N145" s="64">
        <v>2940</v>
      </c>
      <c r="O145" s="67">
        <f t="shared" si="361"/>
        <v>5.066074361011216E-3</v>
      </c>
      <c r="P145" s="3">
        <v>580331</v>
      </c>
      <c r="Q145" s="68">
        <v>2837</v>
      </c>
      <c r="R145" s="67">
        <f t="shared" si="362"/>
        <v>0.25008815232722142</v>
      </c>
      <c r="S145" s="40">
        <v>11344</v>
      </c>
      <c r="T145" s="13">
        <v>335</v>
      </c>
      <c r="U145" s="67">
        <f t="shared" si="363"/>
        <v>0.80143540669856461</v>
      </c>
      <c r="V145" s="26">
        <v>418</v>
      </c>
      <c r="W145" s="63">
        <f t="shared" si="371"/>
        <v>6112</v>
      </c>
      <c r="X145" s="67">
        <f t="shared" si="364"/>
        <v>1.0322702683531134E-2</v>
      </c>
      <c r="Y145" s="26">
        <f t="shared" si="372"/>
        <v>592093</v>
      </c>
      <c r="Z145" s="41">
        <v>125</v>
      </c>
      <c r="AA145" s="67">
        <f t="shared" si="365"/>
        <v>3.3523748223241345E-3</v>
      </c>
      <c r="AB145" s="4">
        <v>37287</v>
      </c>
      <c r="AC145" s="78">
        <v>34</v>
      </c>
      <c r="AD145" s="7">
        <f t="shared" si="366"/>
        <v>0.16190476190476191</v>
      </c>
      <c r="AE145" s="43">
        <v>210</v>
      </c>
      <c r="AF145" s="13">
        <v>10</v>
      </c>
      <c r="AG145" s="7">
        <f t="shared" si="367"/>
        <v>0.55555555555555558</v>
      </c>
      <c r="AH145" s="44">
        <v>18</v>
      </c>
      <c r="AI145" s="63">
        <f t="shared" si="373"/>
        <v>169</v>
      </c>
      <c r="AJ145" s="7">
        <f t="shared" si="368"/>
        <v>4.5048647207783553E-3</v>
      </c>
      <c r="AK145" s="26">
        <f t="shared" si="374"/>
        <v>37515</v>
      </c>
      <c r="AL145" s="25">
        <f t="shared" si="375"/>
        <v>4.9163835672824223E-3</v>
      </c>
      <c r="AM145" s="7">
        <f t="shared" si="376"/>
        <v>0.24831145177202701</v>
      </c>
      <c r="AN145" s="7">
        <f t="shared" si="377"/>
        <v>0.78151260504201681</v>
      </c>
      <c r="AO145" s="171">
        <f t="shared" si="378"/>
        <v>9.616159907156141E-3</v>
      </c>
      <c r="AP145" s="63">
        <f t="shared" si="379"/>
        <v>7275</v>
      </c>
      <c r="AQ145" s="3">
        <f t="shared" si="380"/>
        <v>756539</v>
      </c>
      <c r="AR145" s="116">
        <f t="shared" si="381"/>
        <v>738551</v>
      </c>
      <c r="AS145" s="3">
        <f t="shared" si="382"/>
        <v>13177</v>
      </c>
      <c r="AT145" s="26">
        <f t="shared" si="383"/>
        <v>476</v>
      </c>
      <c r="AU145" s="5"/>
      <c r="AV145" s="5"/>
      <c r="AW145" s="5"/>
      <c r="AX145" s="5"/>
    </row>
    <row r="146" spans="1:50" x14ac:dyDescent="0.15">
      <c r="A146" s="147">
        <v>39326</v>
      </c>
      <c r="B146" s="3">
        <v>567</v>
      </c>
      <c r="C146" s="7">
        <f t="shared" si="357"/>
        <v>4.6851372902223581E-3</v>
      </c>
      <c r="D146" s="3">
        <v>121021</v>
      </c>
      <c r="E146" s="42">
        <v>419</v>
      </c>
      <c r="F146" s="7">
        <f t="shared" si="358"/>
        <v>0.25816389402341344</v>
      </c>
      <c r="G146" s="40">
        <v>1623</v>
      </c>
      <c r="H146" s="13">
        <v>27</v>
      </c>
      <c r="I146" s="7">
        <f t="shared" si="359"/>
        <v>0.67500000000000004</v>
      </c>
      <c r="J146" s="13">
        <v>40</v>
      </c>
      <c r="K146" s="196">
        <f t="shared" si="369"/>
        <v>1013</v>
      </c>
      <c r="L146" s="8">
        <f t="shared" si="360"/>
        <v>8.2569854259724167E-3</v>
      </c>
      <c r="M146" s="23">
        <f t="shared" si="370"/>
        <v>122684</v>
      </c>
      <c r="N146" s="64">
        <v>2937</v>
      </c>
      <c r="O146" s="67">
        <f t="shared" si="361"/>
        <v>5.0640637689255809E-3</v>
      </c>
      <c r="P146" s="3">
        <v>579969</v>
      </c>
      <c r="Q146" s="68">
        <v>2858</v>
      </c>
      <c r="R146" s="67">
        <f t="shared" si="362"/>
        <v>0.25140745953553834</v>
      </c>
      <c r="S146" s="40">
        <v>11368</v>
      </c>
      <c r="T146" s="13">
        <v>333</v>
      </c>
      <c r="U146" s="67">
        <f t="shared" si="363"/>
        <v>0.80048076923076927</v>
      </c>
      <c r="V146" s="26">
        <v>416</v>
      </c>
      <c r="W146" s="63">
        <f t="shared" si="371"/>
        <v>6128</v>
      </c>
      <c r="X146" s="67">
        <f t="shared" si="364"/>
        <v>1.0355672045600107E-2</v>
      </c>
      <c r="Y146" s="26">
        <f t="shared" si="372"/>
        <v>591753</v>
      </c>
      <c r="Z146" s="41">
        <v>125</v>
      </c>
      <c r="AA146" s="67">
        <f t="shared" si="365"/>
        <v>3.3539939359789636E-3</v>
      </c>
      <c r="AB146" s="4">
        <v>37269</v>
      </c>
      <c r="AC146" s="78">
        <v>34</v>
      </c>
      <c r="AD146" s="7">
        <f t="shared" si="366"/>
        <v>0.16037735849056603</v>
      </c>
      <c r="AE146" s="43">
        <v>212</v>
      </c>
      <c r="AF146" s="13">
        <v>10</v>
      </c>
      <c r="AG146" s="7">
        <f t="shared" si="367"/>
        <v>0.55555555555555558</v>
      </c>
      <c r="AH146" s="44">
        <v>18</v>
      </c>
      <c r="AI146" s="63">
        <f t="shared" si="373"/>
        <v>169</v>
      </c>
      <c r="AJ146" s="7">
        <f t="shared" si="368"/>
        <v>4.5067868476492707E-3</v>
      </c>
      <c r="AK146" s="26">
        <f t="shared" si="374"/>
        <v>37499</v>
      </c>
      <c r="AL146" s="25">
        <f t="shared" si="375"/>
        <v>4.9156190442649532E-3</v>
      </c>
      <c r="AM146" s="7">
        <f t="shared" si="376"/>
        <v>0.25077633871089905</v>
      </c>
      <c r="AN146" s="7">
        <f t="shared" si="377"/>
        <v>0.78059071729957807</v>
      </c>
      <c r="AO146" s="171">
        <f t="shared" si="378"/>
        <v>9.6653616445130236E-3</v>
      </c>
      <c r="AP146" s="63">
        <f t="shared" si="379"/>
        <v>7310</v>
      </c>
      <c r="AQ146" s="3">
        <f t="shared" si="380"/>
        <v>756309</v>
      </c>
      <c r="AR146" s="116">
        <f t="shared" si="381"/>
        <v>738259</v>
      </c>
      <c r="AS146" s="3">
        <f t="shared" si="382"/>
        <v>13203</v>
      </c>
      <c r="AT146" s="26">
        <f t="shared" si="383"/>
        <v>474</v>
      </c>
      <c r="AU146" s="5"/>
      <c r="AV146" s="5"/>
      <c r="AW146" s="5"/>
      <c r="AX146" s="5"/>
    </row>
    <row r="147" spans="1:50" x14ac:dyDescent="0.15">
      <c r="A147" s="147">
        <v>39295</v>
      </c>
      <c r="B147" s="3">
        <v>565</v>
      </c>
      <c r="C147" s="7">
        <f t="shared" si="357"/>
        <v>4.669267131665069E-3</v>
      </c>
      <c r="D147" s="3">
        <v>121004</v>
      </c>
      <c r="E147" s="42">
        <v>418</v>
      </c>
      <c r="F147" s="7">
        <f t="shared" si="358"/>
        <v>0.25754775107825018</v>
      </c>
      <c r="G147" s="40">
        <v>1623</v>
      </c>
      <c r="H147" s="13">
        <v>26</v>
      </c>
      <c r="I147" s="7">
        <f t="shared" si="359"/>
        <v>0.65</v>
      </c>
      <c r="J147" s="13">
        <v>40</v>
      </c>
      <c r="K147" s="196">
        <f t="shared" si="369"/>
        <v>1009</v>
      </c>
      <c r="L147" s="8">
        <f t="shared" si="360"/>
        <v>8.2255211263012867E-3</v>
      </c>
      <c r="M147" s="23">
        <f t="shared" si="370"/>
        <v>122667</v>
      </c>
      <c r="N147" s="64">
        <v>2889</v>
      </c>
      <c r="O147" s="67">
        <f t="shared" si="361"/>
        <v>4.9862184305407174E-3</v>
      </c>
      <c r="P147" s="3">
        <v>579397</v>
      </c>
      <c r="Q147" s="68">
        <v>2856</v>
      </c>
      <c r="R147" s="67">
        <f t="shared" si="362"/>
        <v>0.25236370062737473</v>
      </c>
      <c r="S147" s="40">
        <v>11317</v>
      </c>
      <c r="T147" s="13">
        <v>334</v>
      </c>
      <c r="U147" s="67">
        <f t="shared" si="363"/>
        <v>0.79904306220095689</v>
      </c>
      <c r="V147" s="26">
        <v>418</v>
      </c>
      <c r="W147" s="63">
        <f t="shared" si="371"/>
        <v>6079</v>
      </c>
      <c r="X147" s="67">
        <f t="shared" si="364"/>
        <v>1.0283659148887219E-2</v>
      </c>
      <c r="Y147" s="26">
        <f t="shared" si="372"/>
        <v>591132</v>
      </c>
      <c r="Z147" s="41">
        <v>126</v>
      </c>
      <c r="AA147" s="67">
        <f t="shared" si="365"/>
        <v>3.387278885961611E-3</v>
      </c>
      <c r="AB147" s="4">
        <v>37198</v>
      </c>
      <c r="AC147" s="78">
        <v>34</v>
      </c>
      <c r="AD147" s="7">
        <f t="shared" si="366"/>
        <v>0.15962441314553991</v>
      </c>
      <c r="AE147" s="43">
        <v>213</v>
      </c>
      <c r="AF147" s="13">
        <v>10</v>
      </c>
      <c r="AG147" s="7">
        <f t="shared" si="367"/>
        <v>0.55555555555555558</v>
      </c>
      <c r="AH147" s="44">
        <v>18</v>
      </c>
      <c r="AI147" s="63">
        <f t="shared" si="373"/>
        <v>170</v>
      </c>
      <c r="AJ147" s="7">
        <f t="shared" si="368"/>
        <v>4.5419327259611534E-3</v>
      </c>
      <c r="AK147" s="26">
        <f t="shared" si="374"/>
        <v>37429</v>
      </c>
      <c r="AL147" s="25">
        <f t="shared" si="375"/>
        <v>4.8535857559459817E-3</v>
      </c>
      <c r="AM147" s="7">
        <f t="shared" si="376"/>
        <v>0.25150155857979167</v>
      </c>
      <c r="AN147" s="7">
        <f t="shared" si="377"/>
        <v>0.77731092436974791</v>
      </c>
      <c r="AO147" s="171">
        <f t="shared" si="378"/>
        <v>9.6056495724572751E-3</v>
      </c>
      <c r="AP147" s="63">
        <f t="shared" si="379"/>
        <v>7258</v>
      </c>
      <c r="AQ147" s="3">
        <f t="shared" si="380"/>
        <v>755597</v>
      </c>
      <c r="AR147" s="116">
        <f t="shared" si="381"/>
        <v>737599</v>
      </c>
      <c r="AS147" s="3">
        <f t="shared" si="382"/>
        <v>13153</v>
      </c>
      <c r="AT147" s="26">
        <f t="shared" si="383"/>
        <v>476</v>
      </c>
      <c r="AU147" s="5"/>
      <c r="AV147" s="5"/>
      <c r="AW147" s="5"/>
      <c r="AX147" s="5"/>
    </row>
    <row r="148" spans="1:50" x14ac:dyDescent="0.15">
      <c r="A148" s="147">
        <v>39264</v>
      </c>
      <c r="B148" s="3">
        <v>568</v>
      </c>
      <c r="C148" s="7">
        <f t="shared" si="357"/>
        <v>4.7031547569760706E-3</v>
      </c>
      <c r="D148" s="3">
        <v>120770</v>
      </c>
      <c r="E148" s="42">
        <v>415</v>
      </c>
      <c r="F148" s="7">
        <f t="shared" si="358"/>
        <v>0.25617283950617287</v>
      </c>
      <c r="G148" s="40">
        <v>1620</v>
      </c>
      <c r="H148" s="13">
        <v>26</v>
      </c>
      <c r="I148" s="7">
        <f t="shared" si="359"/>
        <v>0.65</v>
      </c>
      <c r="J148" s="13">
        <v>40</v>
      </c>
      <c r="K148" s="196">
        <f t="shared" si="369"/>
        <v>1009</v>
      </c>
      <c r="L148" s="8">
        <f t="shared" si="360"/>
        <v>8.2414440905006943E-3</v>
      </c>
      <c r="M148" s="23">
        <f t="shared" si="370"/>
        <v>122430</v>
      </c>
      <c r="N148" s="64">
        <v>2928</v>
      </c>
      <c r="O148" s="67">
        <f t="shared" si="361"/>
        <v>5.0563485841187824E-3</v>
      </c>
      <c r="P148" s="3">
        <v>579074</v>
      </c>
      <c r="Q148" s="68">
        <v>2853</v>
      </c>
      <c r="R148" s="67">
        <f t="shared" si="362"/>
        <v>0.25241086437229054</v>
      </c>
      <c r="S148" s="40">
        <v>11303</v>
      </c>
      <c r="T148" s="13">
        <v>335</v>
      </c>
      <c r="U148" s="67">
        <f t="shared" si="363"/>
        <v>0.80143540669856461</v>
      </c>
      <c r="V148" s="26">
        <v>418</v>
      </c>
      <c r="W148" s="63">
        <f t="shared" si="371"/>
        <v>6116</v>
      </c>
      <c r="X148" s="67">
        <f t="shared" si="364"/>
        <v>1.0352152607926607E-2</v>
      </c>
      <c r="Y148" s="26">
        <f t="shared" si="372"/>
        <v>590795</v>
      </c>
      <c r="Z148" s="41">
        <v>128</v>
      </c>
      <c r="AA148" s="67">
        <f t="shared" si="365"/>
        <v>3.4425259534183205E-3</v>
      </c>
      <c r="AB148" s="4">
        <v>37182</v>
      </c>
      <c r="AC148" s="78">
        <v>34</v>
      </c>
      <c r="AD148" s="7">
        <f t="shared" si="366"/>
        <v>0.16037735849056603</v>
      </c>
      <c r="AE148" s="43">
        <v>212</v>
      </c>
      <c r="AF148" s="13">
        <v>10</v>
      </c>
      <c r="AG148" s="7">
        <f t="shared" si="367"/>
        <v>0.55555555555555558</v>
      </c>
      <c r="AH148" s="44">
        <v>18</v>
      </c>
      <c r="AI148" s="63">
        <f t="shared" si="373"/>
        <v>172</v>
      </c>
      <c r="AJ148" s="7">
        <f t="shared" si="368"/>
        <v>4.5974553619159628E-3</v>
      </c>
      <c r="AK148" s="26">
        <f t="shared" si="374"/>
        <v>37412</v>
      </c>
      <c r="AL148" s="25">
        <f t="shared" si="375"/>
        <v>4.9170585569572852E-3</v>
      </c>
      <c r="AM148" s="7">
        <f t="shared" si="376"/>
        <v>0.25138941758660066</v>
      </c>
      <c r="AN148" s="7">
        <f t="shared" si="377"/>
        <v>0.77941176470588236</v>
      </c>
      <c r="AO148" s="171">
        <f t="shared" si="378"/>
        <v>9.6648238557044581E-3</v>
      </c>
      <c r="AP148" s="63">
        <f t="shared" si="379"/>
        <v>7297</v>
      </c>
      <c r="AQ148" s="3">
        <f t="shared" si="380"/>
        <v>755006</v>
      </c>
      <c r="AR148" s="116">
        <f t="shared" si="381"/>
        <v>737026</v>
      </c>
      <c r="AS148" s="3">
        <f t="shared" si="382"/>
        <v>13135</v>
      </c>
      <c r="AT148" s="26">
        <f t="shared" si="383"/>
        <v>476</v>
      </c>
      <c r="AU148" s="5"/>
      <c r="AV148" s="5"/>
      <c r="AW148" s="5"/>
      <c r="AX148" s="5"/>
    </row>
    <row r="149" spans="1:50" x14ac:dyDescent="0.15">
      <c r="A149" s="147">
        <v>39234</v>
      </c>
      <c r="B149" s="3">
        <v>562</v>
      </c>
      <c r="C149" s="7">
        <f t="shared" si="357"/>
        <v>4.6814997459328428E-3</v>
      </c>
      <c r="D149" s="3">
        <v>120047</v>
      </c>
      <c r="E149" s="42">
        <v>421</v>
      </c>
      <c r="F149" s="7">
        <f t="shared" si="358"/>
        <v>0.26019777503090236</v>
      </c>
      <c r="G149" s="40">
        <v>1618</v>
      </c>
      <c r="H149" s="13">
        <v>26</v>
      </c>
      <c r="I149" s="7">
        <f t="shared" si="359"/>
        <v>0.65</v>
      </c>
      <c r="J149" s="13">
        <v>40</v>
      </c>
      <c r="K149" s="196">
        <f t="shared" si="369"/>
        <v>1009</v>
      </c>
      <c r="L149" s="8">
        <f t="shared" si="360"/>
        <v>8.2905385974282077E-3</v>
      </c>
      <c r="M149" s="23">
        <f t="shared" si="370"/>
        <v>121705</v>
      </c>
      <c r="N149" s="64">
        <v>2869</v>
      </c>
      <c r="O149" s="67">
        <f t="shared" si="361"/>
        <v>4.9570812484449724E-3</v>
      </c>
      <c r="P149" s="3">
        <v>578768</v>
      </c>
      <c r="Q149" s="68">
        <v>2877</v>
      </c>
      <c r="R149" s="67">
        <f t="shared" si="362"/>
        <v>0.25514366796736432</v>
      </c>
      <c r="S149" s="40">
        <v>11276</v>
      </c>
      <c r="T149" s="4">
        <v>337</v>
      </c>
      <c r="U149" s="67">
        <f t="shared" si="363"/>
        <v>0.80429594272076377</v>
      </c>
      <c r="V149" s="44">
        <v>419</v>
      </c>
      <c r="W149" s="63">
        <f t="shared" si="371"/>
        <v>6083</v>
      </c>
      <c r="X149" s="67">
        <f t="shared" si="364"/>
        <v>1.0302084973994983E-2</v>
      </c>
      <c r="Y149" s="26">
        <f t="shared" si="372"/>
        <v>590463</v>
      </c>
      <c r="Z149" s="41">
        <v>129</v>
      </c>
      <c r="AA149" s="67">
        <f t="shared" si="365"/>
        <v>3.4703540299149899E-3</v>
      </c>
      <c r="AB149" s="3">
        <v>37172</v>
      </c>
      <c r="AC149" s="78">
        <v>35</v>
      </c>
      <c r="AD149" s="7">
        <f t="shared" si="366"/>
        <v>0.1650943396226415</v>
      </c>
      <c r="AE149" s="43">
        <v>212</v>
      </c>
      <c r="AF149" s="13">
        <v>10</v>
      </c>
      <c r="AG149" s="7">
        <f t="shared" si="367"/>
        <v>0.55555555555555558</v>
      </c>
      <c r="AH149" s="44">
        <v>18</v>
      </c>
      <c r="AI149" s="63">
        <f t="shared" si="373"/>
        <v>174</v>
      </c>
      <c r="AJ149" s="7">
        <f t="shared" si="368"/>
        <v>4.6521576386289506E-3</v>
      </c>
      <c r="AK149" s="26">
        <f t="shared" si="374"/>
        <v>37402</v>
      </c>
      <c r="AL149" s="25">
        <f t="shared" si="375"/>
        <v>4.8370419586215513E-3</v>
      </c>
      <c r="AM149" s="7">
        <f t="shared" si="376"/>
        <v>0.25431100259423167</v>
      </c>
      <c r="AN149" s="7">
        <f t="shared" si="377"/>
        <v>0.78197064989517817</v>
      </c>
      <c r="AO149" s="171">
        <f t="shared" si="378"/>
        <v>9.6370265542125855E-3</v>
      </c>
      <c r="AP149" s="63">
        <f t="shared" si="379"/>
        <v>7266</v>
      </c>
      <c r="AQ149" s="3">
        <f t="shared" si="380"/>
        <v>753967</v>
      </c>
      <c r="AR149" s="116">
        <f t="shared" si="381"/>
        <v>735987</v>
      </c>
      <c r="AS149" s="3">
        <f t="shared" si="382"/>
        <v>13106</v>
      </c>
      <c r="AT149" s="26">
        <f t="shared" si="383"/>
        <v>477</v>
      </c>
      <c r="AU149" s="5"/>
      <c r="AV149" s="5"/>
      <c r="AW149" s="5"/>
      <c r="AX149" s="5"/>
    </row>
    <row r="150" spans="1:50" x14ac:dyDescent="0.15">
      <c r="A150" s="147">
        <v>39203</v>
      </c>
      <c r="B150" s="3">
        <v>557</v>
      </c>
      <c r="C150" s="7">
        <f t="shared" si="357"/>
        <v>4.6779598384130211E-3</v>
      </c>
      <c r="D150" s="107">
        <v>119069</v>
      </c>
      <c r="E150" s="42">
        <v>434</v>
      </c>
      <c r="F150" s="7">
        <f t="shared" si="358"/>
        <v>0.2697327532628962</v>
      </c>
      <c r="G150" s="40">
        <v>1609</v>
      </c>
      <c r="H150" s="13">
        <v>26</v>
      </c>
      <c r="I150" s="7">
        <f t="shared" si="359"/>
        <v>0.65</v>
      </c>
      <c r="J150" s="13">
        <v>40</v>
      </c>
      <c r="K150" s="196">
        <f t="shared" si="369"/>
        <v>1017</v>
      </c>
      <c r="L150" s="8">
        <f t="shared" si="360"/>
        <v>8.4245928527642931E-3</v>
      </c>
      <c r="M150" s="23">
        <f t="shared" si="370"/>
        <v>120718</v>
      </c>
      <c r="N150" s="64">
        <v>2823</v>
      </c>
      <c r="O150" s="67">
        <f t="shared" si="361"/>
        <v>4.872138718746602E-3</v>
      </c>
      <c r="P150" s="3">
        <v>579417</v>
      </c>
      <c r="Q150" s="68">
        <v>2899</v>
      </c>
      <c r="R150" s="67">
        <f t="shared" si="362"/>
        <v>0.25704912218478454</v>
      </c>
      <c r="S150" s="40">
        <v>11278</v>
      </c>
      <c r="T150" s="4">
        <v>342</v>
      </c>
      <c r="U150" s="67">
        <f t="shared" si="363"/>
        <v>0.81042654028436023</v>
      </c>
      <c r="V150" s="26">
        <v>422</v>
      </c>
      <c r="W150" s="63">
        <f t="shared" si="371"/>
        <v>6064</v>
      </c>
      <c r="X150" s="7">
        <f t="shared" si="364"/>
        <v>1.025854441675675E-2</v>
      </c>
      <c r="Y150" s="26">
        <f t="shared" si="372"/>
        <v>591117</v>
      </c>
      <c r="Z150" s="41">
        <v>131</v>
      </c>
      <c r="AA150" s="7">
        <f t="shared" si="365"/>
        <v>3.525770421208451E-3</v>
      </c>
      <c r="AB150" s="3">
        <v>37155</v>
      </c>
      <c r="AC150" s="78">
        <v>35</v>
      </c>
      <c r="AD150" s="7">
        <f t="shared" si="366"/>
        <v>0.16908212560386474</v>
      </c>
      <c r="AE150" s="43">
        <v>207</v>
      </c>
      <c r="AF150" s="13">
        <v>10</v>
      </c>
      <c r="AG150" s="7">
        <f t="shared" si="367"/>
        <v>0.55555555555555558</v>
      </c>
      <c r="AH150" s="44">
        <v>18</v>
      </c>
      <c r="AI150" s="63">
        <f t="shared" si="373"/>
        <v>176</v>
      </c>
      <c r="AJ150" s="7">
        <f t="shared" si="368"/>
        <v>4.7084002140181918E-3</v>
      </c>
      <c r="AK150" s="26">
        <f t="shared" si="374"/>
        <v>37380</v>
      </c>
      <c r="AL150" s="25">
        <f t="shared" si="375"/>
        <v>4.7727084270724439E-3</v>
      </c>
      <c r="AM150" s="7">
        <f t="shared" si="376"/>
        <v>0.25721704597525585</v>
      </c>
      <c r="AN150" s="7">
        <f t="shared" si="377"/>
        <v>0.78749999999999998</v>
      </c>
      <c r="AO150" s="171">
        <f t="shared" si="378"/>
        <v>9.6291509708100187E-3</v>
      </c>
      <c r="AP150" s="63">
        <f t="shared" si="379"/>
        <v>7257</v>
      </c>
      <c r="AQ150" s="3">
        <f t="shared" si="380"/>
        <v>753649</v>
      </c>
      <c r="AR150" s="116">
        <f t="shared" ref="AR150:AR166" si="384">D150+P150+AB150</f>
        <v>735641</v>
      </c>
      <c r="AS150" s="3">
        <f t="shared" si="382"/>
        <v>13094</v>
      </c>
      <c r="AT150" s="26">
        <f t="shared" si="383"/>
        <v>480</v>
      </c>
      <c r="AU150" s="5"/>
      <c r="AV150" s="5"/>
      <c r="AW150" s="5"/>
      <c r="AX150" s="5"/>
    </row>
    <row r="151" spans="1:50" x14ac:dyDescent="0.15">
      <c r="A151" s="147">
        <v>39173</v>
      </c>
      <c r="B151" s="3">
        <v>548</v>
      </c>
      <c r="C151" s="7">
        <v>4.624082355919332E-3</v>
      </c>
      <c r="D151" s="3">
        <v>118510</v>
      </c>
      <c r="E151" s="60">
        <v>425</v>
      </c>
      <c r="F151" s="7">
        <v>0.27156549520766771</v>
      </c>
      <c r="G151" s="40">
        <v>1565</v>
      </c>
      <c r="H151" s="3">
        <v>26</v>
      </c>
      <c r="I151" s="7">
        <v>0.65</v>
      </c>
      <c r="J151" s="3">
        <v>40</v>
      </c>
      <c r="K151" s="196">
        <f t="shared" si="369"/>
        <v>999</v>
      </c>
      <c r="L151" s="8">
        <f t="shared" si="360"/>
        <v>8.3170295133830081E-3</v>
      </c>
      <c r="M151" s="23">
        <f t="shared" si="370"/>
        <v>120115</v>
      </c>
      <c r="N151" s="63">
        <v>2806</v>
      </c>
      <c r="O151" s="67">
        <f t="shared" si="361"/>
        <v>4.8428406729581026E-3</v>
      </c>
      <c r="P151" s="3">
        <v>579412</v>
      </c>
      <c r="Q151" s="68">
        <v>2926</v>
      </c>
      <c r="R151" s="67">
        <f t="shared" si="362"/>
        <v>0.26064493140922856</v>
      </c>
      <c r="S151" s="40">
        <v>11226</v>
      </c>
      <c r="T151" s="3">
        <v>341</v>
      </c>
      <c r="U151" s="7">
        <f t="shared" si="363"/>
        <v>0.80997624703087889</v>
      </c>
      <c r="V151" s="44">
        <v>421</v>
      </c>
      <c r="W151" s="63">
        <f t="shared" si="371"/>
        <v>6073</v>
      </c>
      <c r="X151" s="7">
        <f t="shared" si="364"/>
        <v>1.0274777983247019E-2</v>
      </c>
      <c r="Y151" s="26">
        <f t="shared" si="372"/>
        <v>591059</v>
      </c>
      <c r="Z151" s="63">
        <v>146</v>
      </c>
      <c r="AA151" s="7">
        <f t="shared" si="365"/>
        <v>3.9264199655765922E-3</v>
      </c>
      <c r="AB151" s="3">
        <v>37184</v>
      </c>
      <c r="AC151" s="42">
        <v>38</v>
      </c>
      <c r="AD151" s="7">
        <f t="shared" si="366"/>
        <v>0.18446601941747573</v>
      </c>
      <c r="AE151" s="43">
        <v>206</v>
      </c>
      <c r="AF151" s="13">
        <v>11</v>
      </c>
      <c r="AG151" s="7">
        <f t="shared" si="367"/>
        <v>0.61111111111111116</v>
      </c>
      <c r="AH151" s="44">
        <v>18</v>
      </c>
      <c r="AI151" s="63">
        <f t="shared" si="373"/>
        <v>195</v>
      </c>
      <c r="AJ151" s="7">
        <f t="shared" si="368"/>
        <v>5.2127887082976899E-3</v>
      </c>
      <c r="AK151" s="26">
        <f t="shared" si="374"/>
        <v>37408</v>
      </c>
      <c r="AL151" s="25">
        <f t="shared" si="375"/>
        <v>4.7612181100412732E-3</v>
      </c>
      <c r="AM151" s="7">
        <f t="shared" si="376"/>
        <v>0.26075248134184814</v>
      </c>
      <c r="AN151" s="7">
        <f t="shared" si="377"/>
        <v>0.78914405010438415</v>
      </c>
      <c r="AO151" s="171">
        <f t="shared" si="378"/>
        <v>9.6501793390284477E-3</v>
      </c>
      <c r="AP151" s="63">
        <f t="shared" si="379"/>
        <v>7267</v>
      </c>
      <c r="AQ151" s="3">
        <f t="shared" si="380"/>
        <v>753043</v>
      </c>
      <c r="AR151" s="116">
        <f t="shared" si="384"/>
        <v>735106</v>
      </c>
      <c r="AS151" s="3">
        <f t="shared" si="382"/>
        <v>12997</v>
      </c>
      <c r="AT151" s="26">
        <f t="shared" si="383"/>
        <v>479</v>
      </c>
      <c r="AU151" s="5"/>
      <c r="AV151" s="5"/>
      <c r="AW151" s="5"/>
      <c r="AX151" s="5"/>
    </row>
    <row r="152" spans="1:50" x14ac:dyDescent="0.15">
      <c r="A152" s="147">
        <v>39142</v>
      </c>
      <c r="B152" s="3">
        <v>540</v>
      </c>
      <c r="C152" s="7">
        <f>B152/D152</f>
        <v>4.5553859002370484E-3</v>
      </c>
      <c r="D152" s="3">
        <v>118541</v>
      </c>
      <c r="E152" s="58">
        <v>427</v>
      </c>
      <c r="F152" s="7">
        <f>E152/G152</f>
        <v>0.27042431918936033</v>
      </c>
      <c r="G152" s="59">
        <v>1579</v>
      </c>
      <c r="H152" s="13">
        <v>24</v>
      </c>
      <c r="I152" s="7">
        <f>H152/J152</f>
        <v>0.61538461538461542</v>
      </c>
      <c r="J152" s="95">
        <v>39</v>
      </c>
      <c r="K152" s="196">
        <f t="shared" si="369"/>
        <v>991</v>
      </c>
      <c r="L152" s="8">
        <f t="shared" si="360"/>
        <v>8.247405521017985E-3</v>
      </c>
      <c r="M152" s="23">
        <f t="shared" si="370"/>
        <v>120159</v>
      </c>
      <c r="N152" s="63">
        <v>2766</v>
      </c>
      <c r="O152" s="67">
        <f t="shared" si="361"/>
        <v>4.7756514292423185E-3</v>
      </c>
      <c r="P152" s="3">
        <v>579188</v>
      </c>
      <c r="Q152" s="68">
        <v>2962</v>
      </c>
      <c r="R152" s="67">
        <f t="shared" si="362"/>
        <v>0.26422836752899198</v>
      </c>
      <c r="S152" s="40">
        <v>11210</v>
      </c>
      <c r="T152" s="3">
        <v>344</v>
      </c>
      <c r="U152" s="7">
        <f t="shared" si="363"/>
        <v>0.80751173708920188</v>
      </c>
      <c r="V152" s="26">
        <v>426</v>
      </c>
      <c r="W152" s="63">
        <f t="shared" si="371"/>
        <v>6072</v>
      </c>
      <c r="X152" s="7">
        <f t="shared" si="364"/>
        <v>1.0277172220492058E-2</v>
      </c>
      <c r="Y152" s="26">
        <f t="shared" si="372"/>
        <v>590824</v>
      </c>
      <c r="Z152" s="63">
        <v>146</v>
      </c>
      <c r="AA152" s="7">
        <f t="shared" si="365"/>
        <v>3.9269480082842461E-3</v>
      </c>
      <c r="AB152" s="3">
        <v>37179</v>
      </c>
      <c r="AC152" s="42">
        <v>38</v>
      </c>
      <c r="AD152" s="7">
        <f t="shared" si="366"/>
        <v>0.18446601941747573</v>
      </c>
      <c r="AE152" s="43">
        <v>206</v>
      </c>
      <c r="AF152" s="13">
        <v>11</v>
      </c>
      <c r="AG152" s="7">
        <f t="shared" si="367"/>
        <v>0.61111111111111116</v>
      </c>
      <c r="AH152" s="44">
        <v>18</v>
      </c>
      <c r="AI152" s="63">
        <f t="shared" si="373"/>
        <v>195</v>
      </c>
      <c r="AJ152" s="7">
        <f t="shared" si="368"/>
        <v>5.21348554928749E-3</v>
      </c>
      <c r="AK152" s="26">
        <f t="shared" si="374"/>
        <v>37403</v>
      </c>
      <c r="AL152" s="25">
        <f t="shared" si="375"/>
        <v>4.6971865866203659E-3</v>
      </c>
      <c r="AM152" s="7">
        <f t="shared" si="376"/>
        <v>0.26371681415929205</v>
      </c>
      <c r="AN152" s="7">
        <f t="shared" si="377"/>
        <v>0.78467908902691508</v>
      </c>
      <c r="AO152" s="171">
        <f t="shared" si="378"/>
        <v>9.6403401347894355E-3</v>
      </c>
      <c r="AP152" s="63">
        <f t="shared" si="379"/>
        <v>7258</v>
      </c>
      <c r="AQ152" s="3">
        <f t="shared" si="380"/>
        <v>752878</v>
      </c>
      <c r="AR152" s="116">
        <f t="shared" si="384"/>
        <v>734908</v>
      </c>
      <c r="AS152" s="3">
        <f t="shared" si="382"/>
        <v>12995</v>
      </c>
      <c r="AT152" s="26">
        <f t="shared" si="383"/>
        <v>483</v>
      </c>
      <c r="AU152" s="5"/>
      <c r="AV152" s="5"/>
      <c r="AW152" s="5"/>
      <c r="AX152" s="5"/>
    </row>
    <row r="153" spans="1:50" x14ac:dyDescent="0.15">
      <c r="A153" s="147">
        <v>39114</v>
      </c>
      <c r="B153" s="3">
        <v>531</v>
      </c>
      <c r="C153" s="7">
        <f>B153/D153</f>
        <v>4.4815043000497948E-3</v>
      </c>
      <c r="D153" s="3">
        <v>118487</v>
      </c>
      <c r="E153" s="58">
        <v>431</v>
      </c>
      <c r="F153" s="7">
        <f>E153/G153</f>
        <v>0.27038895859473022</v>
      </c>
      <c r="G153" s="40">
        <v>1594</v>
      </c>
      <c r="H153" s="13">
        <v>24</v>
      </c>
      <c r="I153" s="7">
        <f>H153/J153</f>
        <v>0.61538461538461542</v>
      </c>
      <c r="J153" s="13">
        <v>39</v>
      </c>
      <c r="K153" s="196">
        <f t="shared" si="369"/>
        <v>986</v>
      </c>
      <c r="L153" s="8">
        <f t="shared" si="360"/>
        <v>8.2084582084582091E-3</v>
      </c>
      <c r="M153" s="23">
        <f t="shared" si="370"/>
        <v>120120</v>
      </c>
      <c r="N153" s="66">
        <v>2630</v>
      </c>
      <c r="O153" s="67">
        <f t="shared" si="361"/>
        <v>4.544519879250552E-3</v>
      </c>
      <c r="P153" s="4">
        <v>578719</v>
      </c>
      <c r="Q153" s="68">
        <v>2941</v>
      </c>
      <c r="R153" s="67">
        <f t="shared" si="362"/>
        <v>0.26198111526812756</v>
      </c>
      <c r="S153" s="40">
        <v>11226</v>
      </c>
      <c r="T153" s="3">
        <v>346</v>
      </c>
      <c r="U153" s="7">
        <f t="shared" si="363"/>
        <v>0.81030444964871196</v>
      </c>
      <c r="V153" s="26">
        <v>427</v>
      </c>
      <c r="W153" s="63">
        <f t="shared" si="371"/>
        <v>5917</v>
      </c>
      <c r="X153" s="7">
        <f t="shared" si="364"/>
        <v>1.0022494291734702E-2</v>
      </c>
      <c r="Y153" s="26">
        <f t="shared" si="372"/>
        <v>590372</v>
      </c>
      <c r="Z153" s="63">
        <v>220</v>
      </c>
      <c r="AA153" s="7">
        <f t="shared" si="365"/>
        <v>5.9150915494851179E-3</v>
      </c>
      <c r="AB153" s="3">
        <v>37193</v>
      </c>
      <c r="AC153" s="42">
        <v>54</v>
      </c>
      <c r="AD153" s="7">
        <f t="shared" si="366"/>
        <v>0.25837320574162681</v>
      </c>
      <c r="AE153" s="43">
        <v>209</v>
      </c>
      <c r="AF153" s="13">
        <v>11</v>
      </c>
      <c r="AG153" s="7">
        <f t="shared" si="367"/>
        <v>0.61111111111111116</v>
      </c>
      <c r="AH153" s="44">
        <v>18</v>
      </c>
      <c r="AI153" s="63">
        <f t="shared" si="373"/>
        <v>285</v>
      </c>
      <c r="AJ153" s="7">
        <f t="shared" si="368"/>
        <v>7.6162479957242119E-3</v>
      </c>
      <c r="AK153" s="26">
        <f t="shared" si="374"/>
        <v>37420</v>
      </c>
      <c r="AL153" s="25">
        <f t="shared" si="375"/>
        <v>4.6037644386770675E-3</v>
      </c>
      <c r="AM153" s="7">
        <f t="shared" si="376"/>
        <v>0.26295187658300712</v>
      </c>
      <c r="AN153" s="7">
        <f t="shared" si="377"/>
        <v>0.78719008264462809</v>
      </c>
      <c r="AO153" s="171">
        <f t="shared" si="378"/>
        <v>9.5525403006099917E-3</v>
      </c>
      <c r="AP153" s="63">
        <f t="shared" si="379"/>
        <v>7188</v>
      </c>
      <c r="AQ153" s="3">
        <f t="shared" si="380"/>
        <v>752470</v>
      </c>
      <c r="AR153" s="116">
        <f t="shared" si="384"/>
        <v>734399</v>
      </c>
      <c r="AS153" s="3">
        <f t="shared" si="382"/>
        <v>13029</v>
      </c>
      <c r="AT153" s="26">
        <f t="shared" si="383"/>
        <v>484</v>
      </c>
      <c r="AU153" s="5"/>
      <c r="AV153" s="5"/>
      <c r="AW153" s="5"/>
      <c r="AX153" s="5"/>
    </row>
    <row r="154" spans="1:50" x14ac:dyDescent="0.15">
      <c r="A154" s="147">
        <v>39083</v>
      </c>
      <c r="B154" s="3">
        <v>507</v>
      </c>
      <c r="C154" s="7">
        <f>B154/D154</f>
        <v>4.2829627627221731E-3</v>
      </c>
      <c r="D154" s="3">
        <v>118376</v>
      </c>
      <c r="E154" s="58">
        <v>428</v>
      </c>
      <c r="F154" s="7">
        <f>E154/G154</f>
        <v>0.26600372902423863</v>
      </c>
      <c r="G154" s="40">
        <v>1609</v>
      </c>
      <c r="H154" s="13">
        <v>24</v>
      </c>
      <c r="I154" s="7">
        <f>H154/J154</f>
        <v>0.61538461538461542</v>
      </c>
      <c r="J154" s="13">
        <v>39</v>
      </c>
      <c r="K154" s="196">
        <f t="shared" si="369"/>
        <v>959</v>
      </c>
      <c r="L154" s="8">
        <f t="shared" si="360"/>
        <v>7.9900686529360797E-3</v>
      </c>
      <c r="M154" s="23">
        <f t="shared" si="370"/>
        <v>120024</v>
      </c>
      <c r="N154" s="63">
        <v>2604</v>
      </c>
      <c r="O154" s="67">
        <f t="shared" si="361"/>
        <v>4.5067419405643121E-3</v>
      </c>
      <c r="P154" s="3">
        <v>577801</v>
      </c>
      <c r="Q154" s="68">
        <v>2914</v>
      </c>
      <c r="R154" s="67">
        <f t="shared" si="362"/>
        <v>0.25966850828729282</v>
      </c>
      <c r="S154" s="40">
        <v>11222</v>
      </c>
      <c r="T154" s="4">
        <v>346</v>
      </c>
      <c r="U154" s="7">
        <f t="shared" si="363"/>
        <v>0.80092592592592593</v>
      </c>
      <c r="V154" s="44">
        <v>432</v>
      </c>
      <c r="W154" s="63">
        <f t="shared" si="371"/>
        <v>5864</v>
      </c>
      <c r="X154" s="7">
        <f t="shared" si="364"/>
        <v>9.9481724643950761E-3</v>
      </c>
      <c r="Y154" s="26">
        <f t="shared" si="372"/>
        <v>589455</v>
      </c>
      <c r="Z154" s="63">
        <v>296</v>
      </c>
      <c r="AA154" s="7">
        <v>8.0000000000000002E-3</v>
      </c>
      <c r="AB154" s="13">
        <v>37187</v>
      </c>
      <c r="AC154" s="69">
        <v>64</v>
      </c>
      <c r="AD154" s="7">
        <v>0.30188679245283018</v>
      </c>
      <c r="AE154" s="70">
        <v>212</v>
      </c>
      <c r="AF154" s="11">
        <v>11</v>
      </c>
      <c r="AG154" s="7">
        <v>0.6470588235294118</v>
      </c>
      <c r="AH154" s="50">
        <v>17</v>
      </c>
      <c r="AI154" s="63">
        <f t="shared" si="373"/>
        <v>371</v>
      </c>
      <c r="AJ154" s="7">
        <f t="shared" si="368"/>
        <v>9.9155441522343381E-3</v>
      </c>
      <c r="AK154" s="26">
        <f t="shared" si="374"/>
        <v>37416</v>
      </c>
      <c r="AL154" s="25">
        <f t="shared" si="375"/>
        <v>4.6457148155622579E-3</v>
      </c>
      <c r="AM154" s="7">
        <f t="shared" si="376"/>
        <v>0.26113624166219429</v>
      </c>
      <c r="AN154" s="7">
        <f t="shared" si="377"/>
        <v>0.78073770491803274</v>
      </c>
      <c r="AO154" s="171">
        <f t="shared" si="378"/>
        <v>9.5730453701670694E-3</v>
      </c>
      <c r="AP154" s="63">
        <f t="shared" si="379"/>
        <v>7194</v>
      </c>
      <c r="AQ154" s="3">
        <f t="shared" si="380"/>
        <v>751485</v>
      </c>
      <c r="AR154" s="116">
        <f t="shared" si="384"/>
        <v>733364</v>
      </c>
      <c r="AS154" s="3">
        <f t="shared" si="382"/>
        <v>13043</v>
      </c>
      <c r="AT154" s="26">
        <f t="shared" si="383"/>
        <v>488</v>
      </c>
      <c r="AU154" s="5"/>
      <c r="AV154" s="5"/>
      <c r="AW154" s="5"/>
      <c r="AX154" s="5"/>
    </row>
    <row r="155" spans="1:50" x14ac:dyDescent="0.15">
      <c r="A155" s="147">
        <v>39052</v>
      </c>
      <c r="B155" s="3">
        <v>209</v>
      </c>
      <c r="C155" s="7">
        <v>1.7668740700662788E-3</v>
      </c>
      <c r="D155" s="6">
        <v>118288</v>
      </c>
      <c r="E155" s="58">
        <v>390</v>
      </c>
      <c r="F155" s="8">
        <v>0.25112685125563428</v>
      </c>
      <c r="G155" s="38">
        <v>1553</v>
      </c>
      <c r="H155" s="10">
        <v>24</v>
      </c>
      <c r="I155" s="8">
        <v>0.61538461538461542</v>
      </c>
      <c r="J155" s="6">
        <v>39</v>
      </c>
      <c r="K155" s="196">
        <f t="shared" si="369"/>
        <v>623</v>
      </c>
      <c r="L155" s="8">
        <f t="shared" si="360"/>
        <v>5.1968635301968633E-3</v>
      </c>
      <c r="M155" s="23">
        <f t="shared" si="370"/>
        <v>119880</v>
      </c>
      <c r="N155" s="63">
        <v>2548</v>
      </c>
      <c r="O155" s="67">
        <f t="shared" si="361"/>
        <v>4.4168784387686828E-3</v>
      </c>
      <c r="P155" s="3">
        <v>576878</v>
      </c>
      <c r="Q155" s="68">
        <v>2765</v>
      </c>
      <c r="R155" s="67">
        <f t="shared" si="362"/>
        <v>0.24606211622319124</v>
      </c>
      <c r="S155" s="40">
        <v>11237</v>
      </c>
      <c r="T155" s="4">
        <v>357</v>
      </c>
      <c r="U155" s="7">
        <f t="shared" si="363"/>
        <v>0.80405405405405406</v>
      </c>
      <c r="V155" s="44">
        <v>444</v>
      </c>
      <c r="W155" s="63">
        <f t="shared" si="371"/>
        <v>5670</v>
      </c>
      <c r="X155" s="7">
        <f t="shared" si="364"/>
        <v>9.6336985756738068E-3</v>
      </c>
      <c r="Y155" s="26">
        <f t="shared" si="372"/>
        <v>588559</v>
      </c>
      <c r="Z155" s="63">
        <v>333</v>
      </c>
      <c r="AA155" s="7">
        <v>8.954501452081317E-3</v>
      </c>
      <c r="AB155" s="6">
        <v>37188</v>
      </c>
      <c r="AC155" s="69">
        <v>63</v>
      </c>
      <c r="AD155" s="7">
        <v>0.29857819905213268</v>
      </c>
      <c r="AE155" s="38">
        <v>211</v>
      </c>
      <c r="AF155" s="11">
        <v>11</v>
      </c>
      <c r="AG155" s="7">
        <v>0.6470588235294118</v>
      </c>
      <c r="AH155" s="23">
        <v>17</v>
      </c>
      <c r="AI155" s="63">
        <f t="shared" si="373"/>
        <v>407</v>
      </c>
      <c r="AJ155" s="7">
        <f t="shared" si="368"/>
        <v>1.0877699379944409E-2</v>
      </c>
      <c r="AK155" s="26">
        <f t="shared" si="374"/>
        <v>37416</v>
      </c>
      <c r="AL155" s="25">
        <f t="shared" si="375"/>
        <v>4.2192710082828797E-3</v>
      </c>
      <c r="AM155" s="7">
        <f t="shared" si="376"/>
        <v>0.24751942158295515</v>
      </c>
      <c r="AN155" s="7">
        <f t="shared" si="377"/>
        <v>0.78400000000000003</v>
      </c>
      <c r="AO155" s="171">
        <f t="shared" si="378"/>
        <v>8.9332499563337404E-3</v>
      </c>
      <c r="AP155" s="63">
        <f t="shared" si="379"/>
        <v>6700</v>
      </c>
      <c r="AQ155" s="3">
        <f t="shared" si="380"/>
        <v>750007</v>
      </c>
      <c r="AR155" s="116">
        <f t="shared" si="384"/>
        <v>732354</v>
      </c>
      <c r="AS155" s="3">
        <f t="shared" si="382"/>
        <v>13001</v>
      </c>
      <c r="AT155" s="26">
        <f t="shared" si="383"/>
        <v>500</v>
      </c>
      <c r="AU155" s="5"/>
      <c r="AV155" s="5"/>
      <c r="AW155" s="5"/>
      <c r="AX155" s="5"/>
    </row>
    <row r="156" spans="1:50" x14ac:dyDescent="0.15">
      <c r="A156" s="147">
        <v>39022</v>
      </c>
      <c r="B156" s="3">
        <v>506</v>
      </c>
      <c r="C156" s="7">
        <v>4.2447527809002907E-3</v>
      </c>
      <c r="D156" s="6">
        <v>119206</v>
      </c>
      <c r="E156" s="58">
        <v>382</v>
      </c>
      <c r="F156" s="8">
        <v>0.24040276903713026</v>
      </c>
      <c r="G156" s="38">
        <v>1589</v>
      </c>
      <c r="H156" s="10">
        <v>25</v>
      </c>
      <c r="I156" s="8">
        <v>0.64102564102564108</v>
      </c>
      <c r="J156" s="6">
        <v>39</v>
      </c>
      <c r="K156" s="196">
        <f t="shared" si="369"/>
        <v>913</v>
      </c>
      <c r="L156" s="8">
        <f t="shared" si="360"/>
        <v>7.5558203816806528E-3</v>
      </c>
      <c r="M156" s="23">
        <f t="shared" si="370"/>
        <v>120834</v>
      </c>
      <c r="N156" s="63">
        <v>2511</v>
      </c>
      <c r="O156" s="67">
        <f t="shared" si="361"/>
        <v>4.3585199431361559E-3</v>
      </c>
      <c r="P156" s="3">
        <v>576113</v>
      </c>
      <c r="Q156" s="68">
        <v>2733</v>
      </c>
      <c r="R156" s="67">
        <f t="shared" si="362"/>
        <v>0.24222281308162721</v>
      </c>
      <c r="S156" s="40">
        <v>11283</v>
      </c>
      <c r="T156" s="4">
        <v>355</v>
      </c>
      <c r="U156" s="7">
        <f t="shared" si="363"/>
        <v>0.7924107142857143</v>
      </c>
      <c r="V156" s="44">
        <v>448</v>
      </c>
      <c r="W156" s="63">
        <f t="shared" si="371"/>
        <v>5599</v>
      </c>
      <c r="X156" s="7">
        <f t="shared" si="364"/>
        <v>9.5246357877259956E-3</v>
      </c>
      <c r="Y156" s="26">
        <f t="shared" si="372"/>
        <v>587844</v>
      </c>
      <c r="Z156" s="63">
        <v>334</v>
      </c>
      <c r="AA156" s="7">
        <v>8.9959060547295834E-3</v>
      </c>
      <c r="AB156" s="6">
        <v>37128</v>
      </c>
      <c r="AC156" s="69">
        <v>63</v>
      </c>
      <c r="AD156" s="7">
        <v>0.29716981132075471</v>
      </c>
      <c r="AE156" s="38">
        <v>212</v>
      </c>
      <c r="AF156" s="11">
        <v>11</v>
      </c>
      <c r="AG156" s="7">
        <v>0.6875</v>
      </c>
      <c r="AH156" s="23">
        <v>16</v>
      </c>
      <c r="AI156" s="63">
        <f t="shared" si="373"/>
        <v>408</v>
      </c>
      <c r="AJ156" s="7">
        <f t="shared" si="368"/>
        <v>1.0921940250562159E-2</v>
      </c>
      <c r="AK156" s="26">
        <f t="shared" si="374"/>
        <v>37356</v>
      </c>
      <c r="AL156" s="25">
        <f t="shared" si="375"/>
        <v>4.5750750566252579E-3</v>
      </c>
      <c r="AM156" s="7">
        <f t="shared" si="376"/>
        <v>0.24289208193213085</v>
      </c>
      <c r="AN156" s="7">
        <f t="shared" si="377"/>
        <v>0.77733598409542748</v>
      </c>
      <c r="AO156" s="171">
        <f t="shared" si="378"/>
        <v>9.221219999387029E-3</v>
      </c>
      <c r="AP156" s="63">
        <f t="shared" si="379"/>
        <v>6920</v>
      </c>
      <c r="AQ156" s="3">
        <f t="shared" si="380"/>
        <v>750443</v>
      </c>
      <c r="AR156" s="116">
        <f t="shared" si="384"/>
        <v>732447</v>
      </c>
      <c r="AS156" s="3">
        <f t="shared" si="382"/>
        <v>13084</v>
      </c>
      <c r="AT156" s="26">
        <f t="shared" si="383"/>
        <v>503</v>
      </c>
      <c r="AU156" s="5"/>
      <c r="AV156" s="5"/>
      <c r="AW156" s="5"/>
      <c r="AX156" s="5"/>
    </row>
    <row r="157" spans="1:50" x14ac:dyDescent="0.15">
      <c r="A157" s="147">
        <v>38991</v>
      </c>
      <c r="B157" s="3">
        <v>505</v>
      </c>
      <c r="C157" s="7">
        <v>4.2091751683670069E-3</v>
      </c>
      <c r="D157" s="6">
        <v>119976</v>
      </c>
      <c r="E157" s="58">
        <v>383</v>
      </c>
      <c r="F157" s="8">
        <v>0.2398246712586099</v>
      </c>
      <c r="G157" s="38">
        <v>1597</v>
      </c>
      <c r="H157" s="10">
        <v>23</v>
      </c>
      <c r="I157" s="8">
        <v>0.58974358974358976</v>
      </c>
      <c r="J157" s="6">
        <v>39</v>
      </c>
      <c r="K157" s="196">
        <f t="shared" si="369"/>
        <v>911</v>
      </c>
      <c r="L157" s="8">
        <f t="shared" si="360"/>
        <v>7.4910370687103246E-3</v>
      </c>
      <c r="M157" s="23">
        <f t="shared" si="370"/>
        <v>121612</v>
      </c>
      <c r="N157" s="63">
        <v>2501</v>
      </c>
      <c r="O157" s="67">
        <f t="shared" si="361"/>
        <v>4.3472895058412897E-3</v>
      </c>
      <c r="P157" s="3">
        <v>575301</v>
      </c>
      <c r="Q157" s="68">
        <v>2703</v>
      </c>
      <c r="R157" s="67">
        <f t="shared" si="362"/>
        <v>0.2389920424403183</v>
      </c>
      <c r="S157" s="40">
        <v>11310</v>
      </c>
      <c r="T157" s="4">
        <v>351</v>
      </c>
      <c r="U157" s="7">
        <f t="shared" si="363"/>
        <v>0.79054054054054057</v>
      </c>
      <c r="V157" s="44">
        <v>444</v>
      </c>
      <c r="W157" s="63">
        <f t="shared" si="371"/>
        <v>5555</v>
      </c>
      <c r="X157" s="7">
        <f t="shared" si="364"/>
        <v>9.4624864791203554E-3</v>
      </c>
      <c r="Y157" s="26">
        <f t="shared" si="372"/>
        <v>587055</v>
      </c>
      <c r="Z157" s="63">
        <v>334</v>
      </c>
      <c r="AA157" s="7">
        <v>8.9980872329534743E-3</v>
      </c>
      <c r="AB157" s="6">
        <v>37119</v>
      </c>
      <c r="AC157" s="69">
        <v>63</v>
      </c>
      <c r="AD157" s="7">
        <v>0.29716981132075471</v>
      </c>
      <c r="AE157" s="38">
        <v>212</v>
      </c>
      <c r="AF157" s="11">
        <v>11</v>
      </c>
      <c r="AG157" s="7">
        <v>0.6875</v>
      </c>
      <c r="AH157" s="23">
        <v>16</v>
      </c>
      <c r="AI157" s="63">
        <f t="shared" si="373"/>
        <v>408</v>
      </c>
      <c r="AJ157" s="7">
        <f t="shared" si="368"/>
        <v>1.0924572254799583E-2</v>
      </c>
      <c r="AK157" s="26">
        <f t="shared" si="374"/>
        <v>37347</v>
      </c>
      <c r="AL157" s="25">
        <f t="shared" si="375"/>
        <v>4.5603744422416286E-3</v>
      </c>
      <c r="AM157" s="7">
        <f t="shared" si="376"/>
        <v>0.24003353914170286</v>
      </c>
      <c r="AN157" s="7">
        <f t="shared" si="377"/>
        <v>0.77154308617234468</v>
      </c>
      <c r="AO157" s="171">
        <f t="shared" si="378"/>
        <v>9.1606064603997669E-3</v>
      </c>
      <c r="AP157" s="63">
        <f t="shared" si="379"/>
        <v>6874</v>
      </c>
      <c r="AQ157" s="3">
        <f t="shared" si="380"/>
        <v>750387</v>
      </c>
      <c r="AR157" s="116">
        <f t="shared" si="384"/>
        <v>732396</v>
      </c>
      <c r="AS157" s="3">
        <f t="shared" si="382"/>
        <v>13119</v>
      </c>
      <c r="AT157" s="26">
        <f t="shared" si="383"/>
        <v>499</v>
      </c>
      <c r="AU157" s="5"/>
      <c r="AV157" s="5"/>
      <c r="AW157" s="5"/>
      <c r="AX157" s="5"/>
    </row>
    <row r="158" spans="1:50" x14ac:dyDescent="0.15">
      <c r="A158" s="147">
        <v>38961</v>
      </c>
      <c r="B158" s="3">
        <v>487</v>
      </c>
      <c r="C158" s="7">
        <v>4.0515806988352743E-3</v>
      </c>
      <c r="D158" s="6">
        <v>120200</v>
      </c>
      <c r="E158" s="58">
        <v>376</v>
      </c>
      <c r="F158" s="8">
        <v>0.2348532167395378</v>
      </c>
      <c r="G158" s="38">
        <v>1601</v>
      </c>
      <c r="H158" s="10">
        <v>24</v>
      </c>
      <c r="I158" s="8">
        <v>0.61538461538461542</v>
      </c>
      <c r="J158" s="6">
        <v>39</v>
      </c>
      <c r="K158" s="196">
        <f t="shared" si="369"/>
        <v>887</v>
      </c>
      <c r="L158" s="8">
        <f t="shared" si="360"/>
        <v>7.2800393959290876E-3</v>
      </c>
      <c r="M158" s="23">
        <f t="shared" si="370"/>
        <v>121840</v>
      </c>
      <c r="N158" s="63">
        <v>2454</v>
      </c>
      <c r="O158" s="67">
        <f t="shared" si="361"/>
        <v>4.2698459097172924E-3</v>
      </c>
      <c r="P158" s="3">
        <v>574728</v>
      </c>
      <c r="Q158" s="68">
        <v>2638</v>
      </c>
      <c r="R158" s="67">
        <f t="shared" si="362"/>
        <v>0.23380306656031197</v>
      </c>
      <c r="S158" s="40">
        <v>11283</v>
      </c>
      <c r="T158" s="4">
        <v>347</v>
      </c>
      <c r="U158" s="7">
        <f t="shared" si="363"/>
        <v>0.78153153153153154</v>
      </c>
      <c r="V158" s="44">
        <v>444</v>
      </c>
      <c r="W158" s="63">
        <f t="shared" si="371"/>
        <v>5439</v>
      </c>
      <c r="X158" s="7">
        <f t="shared" si="364"/>
        <v>9.2743688774074729E-3</v>
      </c>
      <c r="Y158" s="26">
        <f t="shared" si="372"/>
        <v>586455</v>
      </c>
      <c r="Z158" s="63">
        <v>336</v>
      </c>
      <c r="AA158" s="7">
        <v>9.0553833715132735E-3</v>
      </c>
      <c r="AB158" s="6">
        <v>37105</v>
      </c>
      <c r="AC158" s="69">
        <v>63</v>
      </c>
      <c r="AD158" s="7">
        <v>0.30143540669856461</v>
      </c>
      <c r="AE158" s="38">
        <v>209</v>
      </c>
      <c r="AF158" s="11">
        <v>11</v>
      </c>
      <c r="AG158" s="7">
        <v>0.6875</v>
      </c>
      <c r="AH158" s="23">
        <v>16</v>
      </c>
      <c r="AI158" s="63">
        <f t="shared" si="373"/>
        <v>410</v>
      </c>
      <c r="AJ158" s="7">
        <f t="shared" si="368"/>
        <v>1.0983123493169033E-2</v>
      </c>
      <c r="AK158" s="26">
        <f t="shared" si="374"/>
        <v>37330</v>
      </c>
      <c r="AL158" s="25">
        <f t="shared" si="375"/>
        <v>4.4765741435153876E-3</v>
      </c>
      <c r="AM158" s="7">
        <f t="shared" si="376"/>
        <v>0.23501107462002596</v>
      </c>
      <c r="AN158" s="7">
        <f t="shared" si="377"/>
        <v>0.76553106212424848</v>
      </c>
      <c r="AO158" s="171">
        <f t="shared" si="378"/>
        <v>8.9824471567807734E-3</v>
      </c>
      <c r="AP158" s="63">
        <f t="shared" si="379"/>
        <v>6736</v>
      </c>
      <c r="AQ158" s="3">
        <f t="shared" si="380"/>
        <v>749907</v>
      </c>
      <c r="AR158" s="116">
        <f t="shared" si="384"/>
        <v>732033</v>
      </c>
      <c r="AS158" s="3">
        <f t="shared" si="382"/>
        <v>13093</v>
      </c>
      <c r="AT158" s="26">
        <f t="shared" si="383"/>
        <v>499</v>
      </c>
      <c r="AU158" s="5"/>
      <c r="AV158" s="5"/>
      <c r="AW158" s="5"/>
      <c r="AX158" s="5"/>
    </row>
    <row r="159" spans="1:50" x14ac:dyDescent="0.15">
      <c r="A159" s="147">
        <v>38930</v>
      </c>
      <c r="B159" s="3">
        <v>480</v>
      </c>
      <c r="C159" s="7">
        <v>3.9998000099994999E-3</v>
      </c>
      <c r="D159" s="6">
        <v>120006</v>
      </c>
      <c r="E159" s="58">
        <v>366</v>
      </c>
      <c r="F159" s="8">
        <v>0.22789539227895392</v>
      </c>
      <c r="G159" s="38">
        <v>1606</v>
      </c>
      <c r="H159" s="10">
        <v>24</v>
      </c>
      <c r="I159" s="8">
        <v>0.61538461538461542</v>
      </c>
      <c r="J159" s="6">
        <v>39</v>
      </c>
      <c r="K159" s="196">
        <f t="shared" si="369"/>
        <v>870</v>
      </c>
      <c r="L159" s="8">
        <f t="shared" si="360"/>
        <v>7.1516058232155922E-3</v>
      </c>
      <c r="M159" s="23">
        <f t="shared" si="370"/>
        <v>121651</v>
      </c>
      <c r="N159" s="63">
        <v>2413</v>
      </c>
      <c r="O159" s="67">
        <f t="shared" si="361"/>
        <v>4.2038327526132402E-3</v>
      </c>
      <c r="P159" s="3">
        <v>574000</v>
      </c>
      <c r="Q159" s="68">
        <v>2642</v>
      </c>
      <c r="R159" s="67">
        <f t="shared" si="362"/>
        <v>0.23492797439089455</v>
      </c>
      <c r="S159" s="40">
        <v>11246</v>
      </c>
      <c r="T159" s="4">
        <v>350</v>
      </c>
      <c r="U159" s="7">
        <f t="shared" si="363"/>
        <v>0.76086956521739135</v>
      </c>
      <c r="V159" s="44">
        <v>460</v>
      </c>
      <c r="W159" s="63">
        <f t="shared" si="371"/>
        <v>5405</v>
      </c>
      <c r="X159" s="7">
        <f t="shared" si="364"/>
        <v>9.2281793254636278E-3</v>
      </c>
      <c r="Y159" s="26">
        <f t="shared" si="372"/>
        <v>585706</v>
      </c>
      <c r="Z159" s="63">
        <v>338</v>
      </c>
      <c r="AA159" s="7">
        <v>9.1292134831460672E-3</v>
      </c>
      <c r="AB159" s="6">
        <v>37024</v>
      </c>
      <c r="AC159" s="69">
        <v>63</v>
      </c>
      <c r="AD159" s="7">
        <v>0.29857819905213268</v>
      </c>
      <c r="AE159" s="38">
        <v>211</v>
      </c>
      <c r="AF159" s="11">
        <v>11</v>
      </c>
      <c r="AG159" s="7">
        <v>0.6875</v>
      </c>
      <c r="AH159" s="23">
        <v>16</v>
      </c>
      <c r="AI159" s="63">
        <f t="shared" si="373"/>
        <v>412</v>
      </c>
      <c r="AJ159" s="7">
        <f t="shared" si="368"/>
        <v>1.1060105768972645E-2</v>
      </c>
      <c r="AK159" s="26">
        <f t="shared" si="374"/>
        <v>37251</v>
      </c>
      <c r="AL159" s="25">
        <f t="shared" si="375"/>
        <v>4.4197912534369313E-3</v>
      </c>
      <c r="AM159" s="7">
        <f t="shared" si="376"/>
        <v>0.23509147975197123</v>
      </c>
      <c r="AN159" s="7">
        <f t="shared" si="377"/>
        <v>0.74757281553398058</v>
      </c>
      <c r="AO159" s="171">
        <f t="shared" si="378"/>
        <v>8.9293106257060523E-3</v>
      </c>
      <c r="AP159" s="63">
        <f t="shared" si="379"/>
        <v>6687</v>
      </c>
      <c r="AQ159" s="3">
        <f t="shared" si="380"/>
        <v>748882</v>
      </c>
      <c r="AR159" s="116">
        <f t="shared" si="384"/>
        <v>731030</v>
      </c>
      <c r="AS159" s="3">
        <f t="shared" si="382"/>
        <v>13063</v>
      </c>
      <c r="AT159" s="26">
        <f t="shared" si="383"/>
        <v>515</v>
      </c>
      <c r="AU159" s="5"/>
      <c r="AV159" s="5"/>
      <c r="AW159" s="5"/>
      <c r="AX159" s="5"/>
    </row>
    <row r="160" spans="1:50" x14ac:dyDescent="0.15">
      <c r="A160" s="147">
        <v>38899</v>
      </c>
      <c r="B160" s="3">
        <v>475</v>
      </c>
      <c r="C160" s="7">
        <v>3.9693814450219777E-3</v>
      </c>
      <c r="D160" s="6">
        <v>119666</v>
      </c>
      <c r="E160" s="58">
        <v>353</v>
      </c>
      <c r="F160" s="8">
        <v>0.21966397013067829</v>
      </c>
      <c r="G160" s="38">
        <v>1607</v>
      </c>
      <c r="H160" s="10">
        <v>24</v>
      </c>
      <c r="I160" s="8">
        <v>0.61538461538461542</v>
      </c>
      <c r="J160" s="6">
        <v>39</v>
      </c>
      <c r="K160" s="196">
        <f t="shared" si="369"/>
        <v>852</v>
      </c>
      <c r="L160" s="8">
        <f t="shared" si="360"/>
        <v>7.0232128725929831E-3</v>
      </c>
      <c r="M160" s="23">
        <f t="shared" si="370"/>
        <v>121312</v>
      </c>
      <c r="N160" s="63">
        <v>2360</v>
      </c>
      <c r="O160" s="67">
        <f t="shared" si="361"/>
        <v>4.1136482482133519E-3</v>
      </c>
      <c r="P160" s="3">
        <v>573700</v>
      </c>
      <c r="Q160" s="68">
        <v>2582</v>
      </c>
      <c r="R160" s="67">
        <f t="shared" si="362"/>
        <v>0.23008376403493139</v>
      </c>
      <c r="S160" s="40">
        <v>11222</v>
      </c>
      <c r="T160" s="4">
        <v>334</v>
      </c>
      <c r="U160" s="7">
        <f t="shared" si="363"/>
        <v>0.74720357941834448</v>
      </c>
      <c r="V160" s="44">
        <v>447</v>
      </c>
      <c r="W160" s="63">
        <f t="shared" si="371"/>
        <v>5276</v>
      </c>
      <c r="X160" s="7">
        <f t="shared" si="364"/>
        <v>9.0131182211562275E-3</v>
      </c>
      <c r="Y160" s="26">
        <f t="shared" si="372"/>
        <v>585369</v>
      </c>
      <c r="Z160" s="63">
        <v>344</v>
      </c>
      <c r="AA160" s="7">
        <v>9.3010680005407593E-3</v>
      </c>
      <c r="AB160" s="6">
        <v>36985</v>
      </c>
      <c r="AC160" s="69">
        <v>63</v>
      </c>
      <c r="AD160" s="7">
        <v>0.30143540669856461</v>
      </c>
      <c r="AE160" s="38">
        <v>209</v>
      </c>
      <c r="AF160" s="11">
        <v>11</v>
      </c>
      <c r="AG160" s="7">
        <v>0.6875</v>
      </c>
      <c r="AH160" s="23">
        <v>16</v>
      </c>
      <c r="AI160" s="63">
        <f t="shared" si="373"/>
        <v>418</v>
      </c>
      <c r="AJ160" s="7">
        <f t="shared" si="368"/>
        <v>1.123353937113679E-2</v>
      </c>
      <c r="AK160" s="26">
        <f t="shared" si="374"/>
        <v>37210</v>
      </c>
      <c r="AL160" s="25">
        <f t="shared" si="375"/>
        <v>4.3527016461947753E-3</v>
      </c>
      <c r="AM160" s="7">
        <f t="shared" si="376"/>
        <v>0.22994324282865469</v>
      </c>
      <c r="AN160" s="7">
        <f t="shared" si="377"/>
        <v>0.73505976095617531</v>
      </c>
      <c r="AO160" s="171">
        <f t="shared" si="378"/>
        <v>8.7504361182070833E-3</v>
      </c>
      <c r="AP160" s="63">
        <f t="shared" si="379"/>
        <v>6546</v>
      </c>
      <c r="AQ160" s="3">
        <f t="shared" si="380"/>
        <v>748077</v>
      </c>
      <c r="AR160" s="116">
        <f t="shared" si="384"/>
        <v>730351</v>
      </c>
      <c r="AS160" s="3">
        <f t="shared" si="382"/>
        <v>13038</v>
      </c>
      <c r="AT160" s="26">
        <f t="shared" si="383"/>
        <v>502</v>
      </c>
      <c r="AU160" s="5"/>
      <c r="AV160" s="5"/>
      <c r="AW160" s="5"/>
      <c r="AX160" s="5"/>
    </row>
    <row r="161" spans="1:50" x14ac:dyDescent="0.15">
      <c r="A161" s="147">
        <v>38869</v>
      </c>
      <c r="B161" s="3">
        <v>488</v>
      </c>
      <c r="C161" s="7">
        <v>4.0974315485436483E-3</v>
      </c>
      <c r="D161" s="6">
        <v>119099</v>
      </c>
      <c r="E161" s="58">
        <v>351</v>
      </c>
      <c r="F161" s="8">
        <v>0.21910112359550563</v>
      </c>
      <c r="G161" s="38">
        <v>1602</v>
      </c>
      <c r="H161" s="10">
        <v>23</v>
      </c>
      <c r="I161" s="8">
        <v>0.58974358974358976</v>
      </c>
      <c r="J161" s="6">
        <v>39</v>
      </c>
      <c r="K161" s="196">
        <f t="shared" si="369"/>
        <v>862</v>
      </c>
      <c r="L161" s="8">
        <f t="shared" si="360"/>
        <v>7.1393076031141299E-3</v>
      </c>
      <c r="M161" s="23">
        <f t="shared" si="370"/>
        <v>120740</v>
      </c>
      <c r="N161" s="63">
        <v>2334</v>
      </c>
      <c r="O161" s="67">
        <f t="shared" si="361"/>
        <v>4.0738103217158178E-3</v>
      </c>
      <c r="P161" s="3">
        <v>572928</v>
      </c>
      <c r="Q161" s="68">
        <v>2528</v>
      </c>
      <c r="R161" s="67">
        <f t="shared" si="362"/>
        <v>0.22613829501744342</v>
      </c>
      <c r="S161" s="40">
        <v>11179</v>
      </c>
      <c r="T161" s="4">
        <v>328</v>
      </c>
      <c r="U161" s="7">
        <f t="shared" si="363"/>
        <v>0.72888888888888892</v>
      </c>
      <c r="V161" s="44">
        <v>450</v>
      </c>
      <c r="W161" s="63">
        <f t="shared" si="371"/>
        <v>5190</v>
      </c>
      <c r="X161" s="7">
        <f t="shared" si="364"/>
        <v>8.878518262547536E-3</v>
      </c>
      <c r="Y161" s="26">
        <f t="shared" si="372"/>
        <v>584557</v>
      </c>
      <c r="Z161" s="63">
        <v>346</v>
      </c>
      <c r="AA161" s="7">
        <v>9.368569262428246E-3</v>
      </c>
      <c r="AB161" s="6">
        <v>36932</v>
      </c>
      <c r="AC161" s="69">
        <v>64</v>
      </c>
      <c r="AD161" s="7">
        <v>0.30917874396135264</v>
      </c>
      <c r="AE161" s="38">
        <v>207</v>
      </c>
      <c r="AF161" s="11">
        <v>11</v>
      </c>
      <c r="AG161" s="7">
        <v>0.6875</v>
      </c>
      <c r="AH161" s="23">
        <v>16</v>
      </c>
      <c r="AI161" s="63">
        <f t="shared" si="373"/>
        <v>421</v>
      </c>
      <c r="AJ161" s="7">
        <f t="shared" si="368"/>
        <v>1.1330911048311128E-2</v>
      </c>
      <c r="AK161" s="26">
        <f t="shared" si="374"/>
        <v>37155</v>
      </c>
      <c r="AL161" s="25">
        <f t="shared" si="375"/>
        <v>4.3459234332795119E-3</v>
      </c>
      <c r="AM161" s="7">
        <f t="shared" si="376"/>
        <v>0.22659377887280566</v>
      </c>
      <c r="AN161" s="7">
        <f t="shared" si="377"/>
        <v>0.7168316831683168</v>
      </c>
      <c r="AO161" s="171">
        <f t="shared" si="378"/>
        <v>8.6700750477838595E-3</v>
      </c>
      <c r="AP161" s="63">
        <f t="shared" si="379"/>
        <v>6473</v>
      </c>
      <c r="AQ161" s="3">
        <f t="shared" si="380"/>
        <v>746591</v>
      </c>
      <c r="AR161" s="116">
        <f t="shared" si="384"/>
        <v>728959</v>
      </c>
      <c r="AS161" s="3">
        <f t="shared" si="382"/>
        <v>12988</v>
      </c>
      <c r="AT161" s="26">
        <f t="shared" si="383"/>
        <v>505</v>
      </c>
      <c r="AU161" s="5"/>
      <c r="AV161" s="5"/>
      <c r="AW161" s="5"/>
      <c r="AX161" s="5"/>
    </row>
    <row r="162" spans="1:50" x14ac:dyDescent="0.15">
      <c r="A162" s="147">
        <v>38838</v>
      </c>
      <c r="B162" s="3">
        <v>483</v>
      </c>
      <c r="C162" s="7">
        <v>4.0986388785173621E-3</v>
      </c>
      <c r="D162" s="6">
        <v>117844</v>
      </c>
      <c r="E162" s="58">
        <v>347</v>
      </c>
      <c r="F162" s="8">
        <v>0.21948134092346616</v>
      </c>
      <c r="G162" s="38">
        <v>1581</v>
      </c>
      <c r="H162" s="10">
        <v>22</v>
      </c>
      <c r="I162" s="8">
        <v>0.57894736842105265</v>
      </c>
      <c r="J162" s="6">
        <v>38</v>
      </c>
      <c r="K162" s="196">
        <f t="shared" si="369"/>
        <v>852</v>
      </c>
      <c r="L162" s="8">
        <f t="shared" si="360"/>
        <v>7.1319153210617509E-3</v>
      </c>
      <c r="M162" s="23">
        <f t="shared" si="370"/>
        <v>119463</v>
      </c>
      <c r="N162" s="63">
        <v>2313</v>
      </c>
      <c r="O162" s="67">
        <f t="shared" ref="O162:O193" si="385">N162/P162</f>
        <v>4.035543489829139E-3</v>
      </c>
      <c r="P162" s="3">
        <v>573157</v>
      </c>
      <c r="Q162" s="68">
        <v>2535</v>
      </c>
      <c r="R162" s="67">
        <f t="shared" ref="R162:R193" si="386">Q162/S162</f>
        <v>0.22611720631522611</v>
      </c>
      <c r="S162" s="40">
        <v>11211</v>
      </c>
      <c r="T162" s="4">
        <v>322</v>
      </c>
      <c r="U162" s="7">
        <f t="shared" ref="U162:U193" si="387">T162/V162</f>
        <v>0.7155555555555555</v>
      </c>
      <c r="V162" s="44">
        <v>450</v>
      </c>
      <c r="W162" s="63">
        <f t="shared" ref="W162:W193" si="388">+T162+Q162+N162</f>
        <v>5170</v>
      </c>
      <c r="X162" s="7">
        <f t="shared" ref="X162:X193" si="389">W162/Y162</f>
        <v>8.8403571709489114E-3</v>
      </c>
      <c r="Y162" s="26">
        <f t="shared" ref="Y162:Y193" si="390">+V162+S162+P162</f>
        <v>584818</v>
      </c>
      <c r="Z162" s="63">
        <v>364</v>
      </c>
      <c r="AA162" s="7">
        <v>9.8623604638560739E-3</v>
      </c>
      <c r="AB162" s="6">
        <v>36908</v>
      </c>
      <c r="AC162" s="69">
        <v>63</v>
      </c>
      <c r="AD162" s="7">
        <v>0.30582524271844658</v>
      </c>
      <c r="AE162" s="38">
        <v>206</v>
      </c>
      <c r="AF162" s="11">
        <v>11</v>
      </c>
      <c r="AG162" s="7">
        <v>0.6875</v>
      </c>
      <c r="AH162" s="23">
        <v>16</v>
      </c>
      <c r="AI162" s="63">
        <f t="shared" ref="AI162:AI178" si="391">+AF162+AC162+Z162</f>
        <v>438</v>
      </c>
      <c r="AJ162" s="7">
        <f t="shared" ref="AJ162:AJ178" si="392">AI162/AK162</f>
        <v>1.1796391058443307E-2</v>
      </c>
      <c r="AK162" s="26">
        <f t="shared" ref="AK162:AK178" si="393">+AH162+AE162+AB162</f>
        <v>37130</v>
      </c>
      <c r="AL162" s="25">
        <f t="shared" si="375"/>
        <v>4.3412019909082038E-3</v>
      </c>
      <c r="AM162" s="7">
        <f t="shared" si="376"/>
        <v>0.22657331897214955</v>
      </c>
      <c r="AN162" s="7">
        <f t="shared" si="377"/>
        <v>0.70436507936507942</v>
      </c>
      <c r="AO162" s="171">
        <f t="shared" si="378"/>
        <v>8.6646511740199952E-3</v>
      </c>
      <c r="AP162" s="63">
        <f t="shared" si="379"/>
        <v>6460</v>
      </c>
      <c r="AQ162" s="3">
        <f t="shared" si="380"/>
        <v>745558</v>
      </c>
      <c r="AR162" s="116">
        <f t="shared" si="384"/>
        <v>727909</v>
      </c>
      <c r="AS162" s="3">
        <f t="shared" si="382"/>
        <v>12998</v>
      </c>
      <c r="AT162" s="26">
        <f t="shared" si="383"/>
        <v>504</v>
      </c>
      <c r="AU162" s="5"/>
      <c r="AV162" s="5"/>
      <c r="AW162" s="5"/>
      <c r="AX162" s="5"/>
    </row>
    <row r="163" spans="1:50" x14ac:dyDescent="0.15">
      <c r="A163" s="147">
        <v>38808</v>
      </c>
      <c r="B163" s="3">
        <v>477</v>
      </c>
      <c r="C163" s="7">
        <v>4.0678486453296489E-3</v>
      </c>
      <c r="D163" s="6">
        <v>117261</v>
      </c>
      <c r="E163" s="58">
        <v>335</v>
      </c>
      <c r="F163" s="8">
        <v>0.2166882276843467</v>
      </c>
      <c r="G163" s="38">
        <v>1546</v>
      </c>
      <c r="H163" s="10">
        <v>22</v>
      </c>
      <c r="I163" s="8">
        <v>0.57894736842105265</v>
      </c>
      <c r="J163" s="6">
        <v>38</v>
      </c>
      <c r="K163" s="196">
        <f t="shared" si="369"/>
        <v>834</v>
      </c>
      <c r="L163" s="8">
        <f t="shared" si="360"/>
        <v>7.0175438596491229E-3</v>
      </c>
      <c r="M163" s="23">
        <f t="shared" si="370"/>
        <v>118845</v>
      </c>
      <c r="N163" s="63">
        <v>2301</v>
      </c>
      <c r="O163" s="67">
        <f t="shared" si="385"/>
        <v>4.0169406309791492E-3</v>
      </c>
      <c r="P163" s="3">
        <v>572824</v>
      </c>
      <c r="Q163" s="68">
        <v>2481</v>
      </c>
      <c r="R163" s="67">
        <f t="shared" si="386"/>
        <v>0.22137949495850809</v>
      </c>
      <c r="S163" s="40">
        <v>11207</v>
      </c>
      <c r="T163" s="4">
        <v>313</v>
      </c>
      <c r="U163" s="7">
        <f t="shared" si="387"/>
        <v>0.68942731277533043</v>
      </c>
      <c r="V163" s="44">
        <v>454</v>
      </c>
      <c r="W163" s="63">
        <f t="shared" si="388"/>
        <v>5095</v>
      </c>
      <c r="X163" s="7">
        <f t="shared" si="389"/>
        <v>8.7170757162288171E-3</v>
      </c>
      <c r="Y163" s="26">
        <f t="shared" si="390"/>
        <v>584485</v>
      </c>
      <c r="Z163" s="63">
        <v>1230</v>
      </c>
      <c r="AA163" s="7">
        <v>3.3348697231787003E-2</v>
      </c>
      <c r="AB163" s="6">
        <v>36883</v>
      </c>
      <c r="AC163" s="69">
        <v>65</v>
      </c>
      <c r="AD163" s="7">
        <v>0.3125</v>
      </c>
      <c r="AE163" s="38">
        <v>208</v>
      </c>
      <c r="AF163" s="11">
        <v>11</v>
      </c>
      <c r="AG163" s="7">
        <v>0.6875</v>
      </c>
      <c r="AH163" s="23">
        <v>16</v>
      </c>
      <c r="AI163" s="63">
        <f t="shared" si="391"/>
        <v>1306</v>
      </c>
      <c r="AJ163" s="7">
        <f t="shared" si="392"/>
        <v>3.5195515670897674E-2</v>
      </c>
      <c r="AK163" s="26">
        <f t="shared" si="393"/>
        <v>37107</v>
      </c>
      <c r="AL163" s="25">
        <f t="shared" si="375"/>
        <v>5.5133100769222303E-3</v>
      </c>
      <c r="AM163" s="7">
        <f t="shared" si="376"/>
        <v>0.22228223130931254</v>
      </c>
      <c r="AN163" s="7">
        <f t="shared" si="377"/>
        <v>0.68110236220472442</v>
      </c>
      <c r="AO163" s="171">
        <f t="shared" si="378"/>
        <v>9.7065756515882697E-3</v>
      </c>
      <c r="AP163" s="63">
        <f t="shared" si="379"/>
        <v>7235</v>
      </c>
      <c r="AQ163" s="3">
        <f t="shared" si="380"/>
        <v>745371</v>
      </c>
      <c r="AR163" s="116">
        <f t="shared" si="384"/>
        <v>726968</v>
      </c>
      <c r="AS163" s="3">
        <f t="shared" si="382"/>
        <v>12961</v>
      </c>
      <c r="AT163" s="26">
        <f t="shared" si="383"/>
        <v>508</v>
      </c>
      <c r="AU163" s="5"/>
      <c r="AV163" s="5"/>
      <c r="AW163" s="5"/>
      <c r="AX163" s="5"/>
    </row>
    <row r="164" spans="1:50" x14ac:dyDescent="0.15">
      <c r="A164" s="147">
        <v>38777</v>
      </c>
      <c r="B164" s="3">
        <v>492</v>
      </c>
      <c r="C164" s="7">
        <v>4.1990987300286765E-3</v>
      </c>
      <c r="D164" s="6">
        <v>117168</v>
      </c>
      <c r="E164" s="58">
        <v>333</v>
      </c>
      <c r="F164" s="8">
        <v>0.21623376623376622</v>
      </c>
      <c r="G164" s="38">
        <v>1540</v>
      </c>
      <c r="H164" s="10">
        <v>22</v>
      </c>
      <c r="I164" s="8">
        <v>0.57894736842105265</v>
      </c>
      <c r="J164" s="6">
        <v>38</v>
      </c>
      <c r="K164" s="196">
        <f t="shared" si="369"/>
        <v>847</v>
      </c>
      <c r="L164" s="8">
        <f t="shared" si="360"/>
        <v>7.1328718441042221E-3</v>
      </c>
      <c r="M164" s="23">
        <f t="shared" si="370"/>
        <v>118746</v>
      </c>
      <c r="N164" s="63">
        <v>2270</v>
      </c>
      <c r="O164" s="67">
        <f t="shared" si="385"/>
        <v>3.9673870299651321E-3</v>
      </c>
      <c r="P164" s="3">
        <v>572165</v>
      </c>
      <c r="Q164" s="68">
        <v>2356</v>
      </c>
      <c r="R164" s="67">
        <f t="shared" si="386"/>
        <v>0.20934778745334992</v>
      </c>
      <c r="S164" s="40">
        <v>11254</v>
      </c>
      <c r="T164" s="4">
        <v>293</v>
      </c>
      <c r="U164" s="7">
        <f t="shared" si="387"/>
        <v>0.64823008849557517</v>
      </c>
      <c r="V164" s="44">
        <v>452</v>
      </c>
      <c r="W164" s="63">
        <f t="shared" si="388"/>
        <v>4919</v>
      </c>
      <c r="X164" s="7">
        <f t="shared" si="389"/>
        <v>8.4248061643753501E-3</v>
      </c>
      <c r="Y164" s="26">
        <f t="shared" si="390"/>
        <v>583871</v>
      </c>
      <c r="Z164" s="63">
        <v>1630</v>
      </c>
      <c r="AA164" s="7">
        <v>4.4191405720482579E-2</v>
      </c>
      <c r="AB164" s="6">
        <v>36885</v>
      </c>
      <c r="AC164" s="69">
        <v>84</v>
      </c>
      <c r="AD164" s="7">
        <v>0.40191387559808611</v>
      </c>
      <c r="AE164" s="38">
        <v>209</v>
      </c>
      <c r="AF164" s="11">
        <v>11</v>
      </c>
      <c r="AG164" s="7">
        <v>0.6875</v>
      </c>
      <c r="AH164" s="23">
        <v>16</v>
      </c>
      <c r="AI164" s="63">
        <f t="shared" si="391"/>
        <v>1725</v>
      </c>
      <c r="AJ164" s="7">
        <f t="shared" si="392"/>
        <v>4.648342764753436E-2</v>
      </c>
      <c r="AK164" s="26">
        <f t="shared" si="393"/>
        <v>37110</v>
      </c>
      <c r="AL164" s="25">
        <f t="shared" si="375"/>
        <v>6.0477707795730754E-3</v>
      </c>
      <c r="AM164" s="7">
        <f t="shared" si="376"/>
        <v>0.21325847881258173</v>
      </c>
      <c r="AN164" s="7">
        <f t="shared" si="377"/>
        <v>0.64426877470355737</v>
      </c>
      <c r="AO164" s="171">
        <f t="shared" si="378"/>
        <v>1.0055735433882633E-2</v>
      </c>
      <c r="AP164" s="63">
        <f t="shared" si="379"/>
        <v>7491</v>
      </c>
      <c r="AQ164" s="3">
        <f t="shared" si="380"/>
        <v>744948</v>
      </c>
      <c r="AR164" s="116">
        <f t="shared" si="384"/>
        <v>726218</v>
      </c>
      <c r="AS164" s="3">
        <f t="shared" si="382"/>
        <v>13003</v>
      </c>
      <c r="AT164" s="26">
        <f t="shared" si="383"/>
        <v>506</v>
      </c>
      <c r="AU164" s="5"/>
      <c r="AV164" s="5"/>
      <c r="AW164" s="5"/>
      <c r="AX164" s="5"/>
    </row>
    <row r="165" spans="1:50" x14ac:dyDescent="0.15">
      <c r="A165" s="147">
        <v>38749</v>
      </c>
      <c r="B165" s="3">
        <v>503</v>
      </c>
      <c r="C165" s="7">
        <v>4.2955840030060545E-3</v>
      </c>
      <c r="D165" s="6">
        <v>117097</v>
      </c>
      <c r="E165" s="58">
        <v>323</v>
      </c>
      <c r="F165" s="8">
        <v>0.20946822308690013</v>
      </c>
      <c r="G165" s="38">
        <v>1542</v>
      </c>
      <c r="H165" s="10">
        <v>22</v>
      </c>
      <c r="I165" s="8">
        <v>0.5641025641025641</v>
      </c>
      <c r="J165" s="6">
        <v>39</v>
      </c>
      <c r="K165" s="196">
        <f t="shared" si="369"/>
        <v>848</v>
      </c>
      <c r="L165" s="8">
        <f t="shared" si="360"/>
        <v>7.1453849913210533E-3</v>
      </c>
      <c r="M165" s="23">
        <f t="shared" si="370"/>
        <v>118678</v>
      </c>
      <c r="N165" s="65">
        <v>2274</v>
      </c>
      <c r="O165" s="67">
        <f t="shared" si="385"/>
        <v>3.9792741761905011E-3</v>
      </c>
      <c r="P165" s="3">
        <v>571461</v>
      </c>
      <c r="Q165" s="68">
        <v>2364</v>
      </c>
      <c r="R165" s="67">
        <f t="shared" si="386"/>
        <v>0.21043261527505785</v>
      </c>
      <c r="S165" s="40">
        <v>11234</v>
      </c>
      <c r="T165" s="4">
        <v>299</v>
      </c>
      <c r="U165" s="7">
        <f t="shared" si="387"/>
        <v>0.66004415011037532</v>
      </c>
      <c r="V165" s="44">
        <v>453</v>
      </c>
      <c r="W165" s="63">
        <f t="shared" si="388"/>
        <v>4937</v>
      </c>
      <c r="X165" s="7">
        <f t="shared" si="389"/>
        <v>8.4661183781818677E-3</v>
      </c>
      <c r="Y165" s="26">
        <f t="shared" si="390"/>
        <v>583148</v>
      </c>
      <c r="Z165" s="63">
        <v>1633</v>
      </c>
      <c r="AA165" s="7">
        <v>4.4265539020357271E-2</v>
      </c>
      <c r="AB165" s="6">
        <v>36891</v>
      </c>
      <c r="AC165" s="69">
        <v>84</v>
      </c>
      <c r="AD165" s="7">
        <v>0.40191387559808611</v>
      </c>
      <c r="AE165" s="38">
        <v>209</v>
      </c>
      <c r="AF165" s="11">
        <v>11</v>
      </c>
      <c r="AG165" s="7">
        <v>0.6470588235294118</v>
      </c>
      <c r="AH165" s="23">
        <v>17</v>
      </c>
      <c r="AI165" s="63">
        <f t="shared" si="391"/>
        <v>1728</v>
      </c>
      <c r="AJ165" s="7">
        <f t="shared" si="392"/>
        <v>4.6555486704205618E-2</v>
      </c>
      <c r="AK165" s="26">
        <f t="shared" si="393"/>
        <v>37117</v>
      </c>
      <c r="AL165" s="25">
        <f t="shared" si="375"/>
        <v>6.0789938369203069E-3</v>
      </c>
      <c r="AM165" s="7">
        <f t="shared" si="376"/>
        <v>0.21340007701193686</v>
      </c>
      <c r="AN165" s="7">
        <f t="shared" si="377"/>
        <v>0.65225933202357567</v>
      </c>
      <c r="AO165" s="171">
        <f t="shared" si="378"/>
        <v>1.0095648645089508E-2</v>
      </c>
      <c r="AP165" s="63">
        <f t="shared" si="379"/>
        <v>7513</v>
      </c>
      <c r="AQ165" s="3">
        <f t="shared" si="380"/>
        <v>744182</v>
      </c>
      <c r="AR165" s="116">
        <f t="shared" si="384"/>
        <v>725449</v>
      </c>
      <c r="AS165" s="3">
        <f t="shared" si="382"/>
        <v>12985</v>
      </c>
      <c r="AT165" s="26">
        <f t="shared" si="383"/>
        <v>509</v>
      </c>
      <c r="AU165" s="5"/>
      <c r="AV165" s="5"/>
      <c r="AW165" s="5"/>
      <c r="AX165" s="5"/>
    </row>
    <row r="166" spans="1:50" x14ac:dyDescent="0.15">
      <c r="A166" s="147">
        <v>38718</v>
      </c>
      <c r="B166" s="3">
        <v>506</v>
      </c>
      <c r="C166" s="7">
        <v>4.321203788312254E-3</v>
      </c>
      <c r="D166" s="6">
        <v>117097</v>
      </c>
      <c r="E166" s="58">
        <v>327</v>
      </c>
      <c r="F166" s="8">
        <v>0.21219987021414666</v>
      </c>
      <c r="G166" s="38">
        <v>1541</v>
      </c>
      <c r="H166" s="10">
        <v>22</v>
      </c>
      <c r="I166" s="8">
        <v>0.5641025641025641</v>
      </c>
      <c r="J166" s="6">
        <v>39</v>
      </c>
      <c r="K166" s="196">
        <f t="shared" si="369"/>
        <v>855</v>
      </c>
      <c r="L166" s="8">
        <f t="shared" si="360"/>
        <v>7.2044288278267903E-3</v>
      </c>
      <c r="M166" s="23">
        <f t="shared" si="370"/>
        <v>118677</v>
      </c>
      <c r="N166" s="64">
        <v>2254</v>
      </c>
      <c r="O166" s="67">
        <f t="shared" si="385"/>
        <v>3.950297060936925E-3</v>
      </c>
      <c r="P166" s="3">
        <v>570590</v>
      </c>
      <c r="Q166" s="68">
        <v>2360</v>
      </c>
      <c r="R166" s="67">
        <f t="shared" si="386"/>
        <v>0.21033868092691621</v>
      </c>
      <c r="S166" s="40">
        <v>11220</v>
      </c>
      <c r="T166" s="4">
        <v>295</v>
      </c>
      <c r="U166" s="7">
        <f t="shared" si="387"/>
        <v>0.65121412803532008</v>
      </c>
      <c r="V166" s="44">
        <v>453</v>
      </c>
      <c r="W166" s="63">
        <f t="shared" si="388"/>
        <v>4909</v>
      </c>
      <c r="X166" s="7">
        <f t="shared" si="389"/>
        <v>8.4308980649637714E-3</v>
      </c>
      <c r="Y166" s="26">
        <f t="shared" si="390"/>
        <v>582263</v>
      </c>
      <c r="Z166" s="63">
        <v>1637</v>
      </c>
      <c r="AA166" s="7">
        <f t="shared" ref="AA166:AA178" si="394">Z166/AB166</f>
        <v>4.4392016487688472E-2</v>
      </c>
      <c r="AB166" s="3">
        <v>36876</v>
      </c>
      <c r="AC166" s="42">
        <v>82</v>
      </c>
      <c r="AD166" s="7">
        <f t="shared" ref="AD166:AD178" si="395">AC166/AE166</f>
        <v>0.38862559241706163</v>
      </c>
      <c r="AE166" s="43">
        <v>211</v>
      </c>
      <c r="AF166" s="13">
        <v>11</v>
      </c>
      <c r="AG166" s="7">
        <f t="shared" ref="AG166:AG178" si="396">AF166/AH166</f>
        <v>0.6470588235294118</v>
      </c>
      <c r="AH166" s="44">
        <v>17</v>
      </c>
      <c r="AI166" s="63">
        <f t="shared" si="391"/>
        <v>1730</v>
      </c>
      <c r="AJ166" s="7">
        <f t="shared" si="392"/>
        <v>4.66257007330746E-2</v>
      </c>
      <c r="AK166" s="26">
        <f t="shared" si="393"/>
        <v>37104</v>
      </c>
      <c r="AL166" s="25">
        <f t="shared" si="375"/>
        <v>6.0684854181071897E-3</v>
      </c>
      <c r="AM166" s="7">
        <f t="shared" si="376"/>
        <v>0.21345975948196114</v>
      </c>
      <c r="AN166" s="7">
        <f t="shared" si="377"/>
        <v>0.64440078585461691</v>
      </c>
      <c r="AO166" s="171">
        <f t="shared" si="378"/>
        <v>1.0082283487872738E-2</v>
      </c>
      <c r="AP166" s="63">
        <f t="shared" si="379"/>
        <v>7494</v>
      </c>
      <c r="AQ166" s="3">
        <f t="shared" si="380"/>
        <v>743284</v>
      </c>
      <c r="AR166" s="116">
        <f t="shared" si="384"/>
        <v>724563</v>
      </c>
      <c r="AS166" s="3">
        <f t="shared" si="382"/>
        <v>12972</v>
      </c>
      <c r="AT166" s="26">
        <f t="shared" si="383"/>
        <v>509</v>
      </c>
      <c r="AU166" s="5"/>
      <c r="AV166" s="5"/>
      <c r="AW166" s="5"/>
      <c r="AX166" s="5"/>
    </row>
    <row r="167" spans="1:50" x14ac:dyDescent="0.15">
      <c r="A167" s="147">
        <v>38687</v>
      </c>
      <c r="B167" s="3">
        <v>501</v>
      </c>
      <c r="C167" s="13"/>
      <c r="D167" s="13"/>
      <c r="E167" s="58">
        <v>337</v>
      </c>
      <c r="F167" s="13"/>
      <c r="G167" s="43"/>
      <c r="H167" s="13">
        <v>22</v>
      </c>
      <c r="I167" s="13"/>
      <c r="J167" s="13"/>
      <c r="K167" s="41"/>
      <c r="L167" s="13"/>
      <c r="M167" s="44"/>
      <c r="N167" s="64">
        <v>2263</v>
      </c>
      <c r="O167" s="67">
        <f t="shared" si="385"/>
        <v>3.9743659542781076E-3</v>
      </c>
      <c r="P167" s="3">
        <f>520178+48799+422</f>
        <v>569399</v>
      </c>
      <c r="Q167" s="68">
        <v>2332</v>
      </c>
      <c r="R167" s="67">
        <f t="shared" si="386"/>
        <v>0.20845624385447395</v>
      </c>
      <c r="S167" s="40">
        <v>11187</v>
      </c>
      <c r="T167" s="3">
        <v>305</v>
      </c>
      <c r="U167" s="7">
        <f t="shared" si="387"/>
        <v>0.67777777777777781</v>
      </c>
      <c r="V167" s="44">
        <v>450</v>
      </c>
      <c r="W167" s="63">
        <f t="shared" si="388"/>
        <v>4900</v>
      </c>
      <c r="X167" s="7">
        <f t="shared" si="389"/>
        <v>8.4332123999201428E-3</v>
      </c>
      <c r="Y167" s="26">
        <f t="shared" si="390"/>
        <v>581036</v>
      </c>
      <c r="Z167" s="63">
        <v>1644</v>
      </c>
      <c r="AA167" s="7">
        <f t="shared" si="394"/>
        <v>4.4591515677552346E-2</v>
      </c>
      <c r="AB167" s="3">
        <v>36868</v>
      </c>
      <c r="AC167" s="42">
        <v>83</v>
      </c>
      <c r="AD167" s="7">
        <f t="shared" si="395"/>
        <v>0.38967136150234744</v>
      </c>
      <c r="AE167" s="43">
        <v>213</v>
      </c>
      <c r="AF167" s="13">
        <v>11</v>
      </c>
      <c r="AG167" s="7">
        <f t="shared" si="396"/>
        <v>0.6470588235294118</v>
      </c>
      <c r="AH167" s="44">
        <v>17</v>
      </c>
      <c r="AI167" s="63">
        <f t="shared" si="391"/>
        <v>1738</v>
      </c>
      <c r="AJ167" s="7">
        <f t="shared" si="392"/>
        <v>4.6848886732438408E-2</v>
      </c>
      <c r="AK167" s="26">
        <f t="shared" si="393"/>
        <v>37098</v>
      </c>
      <c r="AL167" s="41"/>
      <c r="AM167" s="13"/>
      <c r="AN167" s="13"/>
      <c r="AO167" s="44"/>
      <c r="AP167" s="63">
        <v>5613</v>
      </c>
      <c r="AQ167" s="13"/>
      <c r="AR167" s="13"/>
      <c r="AS167" s="13"/>
      <c r="AT167" s="44"/>
      <c r="AU167" s="5"/>
      <c r="AV167" s="5"/>
      <c r="AW167" s="5"/>
      <c r="AX167" s="5"/>
    </row>
    <row r="168" spans="1:50" x14ac:dyDescent="0.15">
      <c r="A168" s="147">
        <v>38657</v>
      </c>
      <c r="B168" s="3">
        <v>500</v>
      </c>
      <c r="C168" s="13"/>
      <c r="D168" s="13"/>
      <c r="E168" s="57">
        <v>338</v>
      </c>
      <c r="F168" s="13"/>
      <c r="G168" s="43"/>
      <c r="H168" s="13">
        <v>23</v>
      </c>
      <c r="I168" s="13"/>
      <c r="J168" s="13"/>
      <c r="K168" s="41"/>
      <c r="L168" s="13"/>
      <c r="M168" s="44"/>
      <c r="N168" s="64">
        <v>2280</v>
      </c>
      <c r="O168" s="67">
        <f t="shared" si="385"/>
        <v>4.011909035241454E-3</v>
      </c>
      <c r="P168" s="3">
        <f>519084+48792+432</f>
        <v>568308</v>
      </c>
      <c r="Q168" s="68">
        <v>2366</v>
      </c>
      <c r="R168" s="67">
        <f t="shared" si="386"/>
        <v>0.21221634227284958</v>
      </c>
      <c r="S168" s="40">
        <v>11149</v>
      </c>
      <c r="T168" s="3">
        <v>311</v>
      </c>
      <c r="U168" s="7">
        <f t="shared" si="387"/>
        <v>0.68805309734513276</v>
      </c>
      <c r="V168" s="44">
        <v>452</v>
      </c>
      <c r="W168" s="63">
        <f t="shared" si="388"/>
        <v>4957</v>
      </c>
      <c r="X168" s="7">
        <f t="shared" si="389"/>
        <v>8.5478928590520236E-3</v>
      </c>
      <c r="Y168" s="26">
        <f t="shared" si="390"/>
        <v>579909</v>
      </c>
      <c r="Z168" s="63">
        <v>1644</v>
      </c>
      <c r="AA168" s="7">
        <f t="shared" si="394"/>
        <v>4.4607244607244606E-2</v>
      </c>
      <c r="AB168" s="3">
        <v>36855</v>
      </c>
      <c r="AC168" s="42">
        <v>82</v>
      </c>
      <c r="AD168" s="7">
        <f t="shared" si="395"/>
        <v>0.3867924528301887</v>
      </c>
      <c r="AE168" s="43">
        <v>212</v>
      </c>
      <c r="AF168" s="13">
        <v>10</v>
      </c>
      <c r="AG168" s="7">
        <f t="shared" si="396"/>
        <v>0.58823529411764708</v>
      </c>
      <c r="AH168" s="44">
        <v>17</v>
      </c>
      <c r="AI168" s="63">
        <f t="shared" si="391"/>
        <v>1736</v>
      </c>
      <c r="AJ168" s="7">
        <f t="shared" si="392"/>
        <v>4.6812641570488624E-2</v>
      </c>
      <c r="AK168" s="26">
        <f t="shared" si="393"/>
        <v>37084</v>
      </c>
      <c r="AL168" s="41"/>
      <c r="AM168" s="13"/>
      <c r="AN168" s="13"/>
      <c r="AO168" s="44"/>
      <c r="AP168" s="63">
        <v>5630</v>
      </c>
      <c r="AQ168" s="13"/>
      <c r="AR168" s="13"/>
      <c r="AS168" s="13"/>
      <c r="AT168" s="44"/>
      <c r="AU168" s="5"/>
      <c r="AV168" s="5"/>
      <c r="AW168" s="5"/>
      <c r="AX168" s="5"/>
    </row>
    <row r="169" spans="1:50" x14ac:dyDescent="0.15">
      <c r="A169" s="147">
        <v>38626</v>
      </c>
      <c r="B169" s="3">
        <v>500</v>
      </c>
      <c r="C169" s="13"/>
      <c r="D169" s="13"/>
      <c r="E169" s="57">
        <v>333</v>
      </c>
      <c r="F169" s="13"/>
      <c r="G169" s="43"/>
      <c r="H169" s="13">
        <v>23</v>
      </c>
      <c r="I169" s="13"/>
      <c r="J169" s="13"/>
      <c r="K169" s="41"/>
      <c r="L169" s="13"/>
      <c r="M169" s="44"/>
      <c r="N169" s="64">
        <v>2241</v>
      </c>
      <c r="O169" s="67">
        <f t="shared" si="385"/>
        <v>3.9480012472935672E-3</v>
      </c>
      <c r="P169" s="3">
        <f>518404+48792+433</f>
        <v>567629</v>
      </c>
      <c r="Q169" s="68">
        <v>2414</v>
      </c>
      <c r="R169" s="67">
        <f t="shared" si="386"/>
        <v>0.21685231764283147</v>
      </c>
      <c r="S169" s="40">
        <v>11132</v>
      </c>
      <c r="T169" s="3">
        <v>313</v>
      </c>
      <c r="U169" s="7">
        <f t="shared" si="387"/>
        <v>0.69401330376940129</v>
      </c>
      <c r="V169" s="44">
        <v>451</v>
      </c>
      <c r="W169" s="63">
        <f t="shared" si="388"/>
        <v>4968</v>
      </c>
      <c r="X169" s="7">
        <f t="shared" si="389"/>
        <v>8.5771703624924894E-3</v>
      </c>
      <c r="Y169" s="26">
        <f t="shared" si="390"/>
        <v>579212</v>
      </c>
      <c r="Z169" s="63">
        <v>1649</v>
      </c>
      <c r="AA169" s="7">
        <f t="shared" si="394"/>
        <v>4.4725921505872145E-2</v>
      </c>
      <c r="AB169" s="3">
        <v>36869</v>
      </c>
      <c r="AC169" s="42">
        <v>82</v>
      </c>
      <c r="AD169" s="7">
        <f t="shared" si="395"/>
        <v>0.38497652582159625</v>
      </c>
      <c r="AE169" s="43">
        <v>213</v>
      </c>
      <c r="AF169" s="13">
        <v>11</v>
      </c>
      <c r="AG169" s="7">
        <f t="shared" si="396"/>
        <v>0.6470588235294118</v>
      </c>
      <c r="AH169" s="44">
        <v>17</v>
      </c>
      <c r="AI169" s="63">
        <f t="shared" si="391"/>
        <v>1742</v>
      </c>
      <c r="AJ169" s="7">
        <f t="shared" si="392"/>
        <v>4.6955443542952641E-2</v>
      </c>
      <c r="AK169" s="26">
        <f t="shared" si="393"/>
        <v>37099</v>
      </c>
      <c r="AL169" s="41"/>
      <c r="AM169" s="13"/>
      <c r="AN169" s="13"/>
      <c r="AO169" s="44"/>
      <c r="AP169" s="63">
        <v>5691</v>
      </c>
      <c r="AQ169" s="15"/>
      <c r="AR169" s="13"/>
      <c r="AS169" s="13"/>
      <c r="AT169" s="44"/>
      <c r="AU169" s="5"/>
      <c r="AV169" s="5"/>
      <c r="AW169" s="5"/>
      <c r="AX169" s="5"/>
    </row>
    <row r="170" spans="1:50" x14ac:dyDescent="0.15">
      <c r="A170" s="147">
        <v>38596</v>
      </c>
      <c r="B170" s="3">
        <v>497</v>
      </c>
      <c r="C170" s="13"/>
      <c r="D170" s="13"/>
      <c r="E170" s="57">
        <v>333</v>
      </c>
      <c r="F170" s="13"/>
      <c r="G170" s="43"/>
      <c r="H170" s="13">
        <v>23</v>
      </c>
      <c r="I170" s="13"/>
      <c r="J170" s="13"/>
      <c r="K170" s="41"/>
      <c r="L170" s="13"/>
      <c r="M170" s="44"/>
      <c r="N170" s="64">
        <v>2209</v>
      </c>
      <c r="O170" s="67">
        <f t="shared" si="385"/>
        <v>3.8964452213424302E-3</v>
      </c>
      <c r="P170" s="3">
        <f>517550+48943+434</f>
        <v>566927</v>
      </c>
      <c r="Q170" s="68">
        <v>2441</v>
      </c>
      <c r="R170" s="67">
        <f t="shared" si="386"/>
        <v>0.22296309828279137</v>
      </c>
      <c r="S170" s="40">
        <v>10948</v>
      </c>
      <c r="T170" s="3">
        <v>315</v>
      </c>
      <c r="U170" s="7">
        <f t="shared" si="387"/>
        <v>0.7</v>
      </c>
      <c r="V170" s="44">
        <v>450</v>
      </c>
      <c r="W170" s="63">
        <f t="shared" si="388"/>
        <v>4965</v>
      </c>
      <c r="X170" s="7">
        <f t="shared" si="389"/>
        <v>8.5851381143820515E-3</v>
      </c>
      <c r="Y170" s="26">
        <f t="shared" si="390"/>
        <v>578325</v>
      </c>
      <c r="Z170" s="63">
        <v>1658</v>
      </c>
      <c r="AA170" s="7">
        <f t="shared" si="394"/>
        <v>4.5010315995222067E-2</v>
      </c>
      <c r="AB170" s="3">
        <v>36836</v>
      </c>
      <c r="AC170" s="42">
        <v>85</v>
      </c>
      <c r="AD170" s="7">
        <f t="shared" si="395"/>
        <v>0.39534883720930231</v>
      </c>
      <c r="AE170" s="43">
        <v>215</v>
      </c>
      <c r="AF170" s="13">
        <v>11</v>
      </c>
      <c r="AG170" s="7">
        <f t="shared" si="396"/>
        <v>0.6470588235294118</v>
      </c>
      <c r="AH170" s="44">
        <v>17</v>
      </c>
      <c r="AI170" s="63">
        <f t="shared" si="391"/>
        <v>1754</v>
      </c>
      <c r="AJ170" s="7">
        <f t="shared" si="392"/>
        <v>4.7318441782669689E-2</v>
      </c>
      <c r="AK170" s="26">
        <f t="shared" si="393"/>
        <v>37068</v>
      </c>
      <c r="AL170" s="41"/>
      <c r="AM170" s="13"/>
      <c r="AN170" s="13"/>
      <c r="AO170" s="44"/>
      <c r="AP170" s="63">
        <v>5752</v>
      </c>
      <c r="AQ170" s="15"/>
      <c r="AR170" s="13"/>
      <c r="AS170" s="13"/>
      <c r="AT170" s="44"/>
      <c r="AU170" s="5"/>
      <c r="AV170" s="5"/>
      <c r="AW170" s="5"/>
      <c r="AX170" s="5"/>
    </row>
    <row r="171" spans="1:50" x14ac:dyDescent="0.15">
      <c r="A171" s="147">
        <v>38565</v>
      </c>
      <c r="B171" s="3">
        <v>490</v>
      </c>
      <c r="C171" s="13"/>
      <c r="D171" s="13"/>
      <c r="E171" s="57">
        <v>338</v>
      </c>
      <c r="F171" s="13"/>
      <c r="G171" s="43"/>
      <c r="H171" s="13">
        <v>23</v>
      </c>
      <c r="I171" s="13"/>
      <c r="J171" s="13"/>
      <c r="K171" s="41"/>
      <c r="L171" s="13"/>
      <c r="M171" s="44"/>
      <c r="N171" s="64">
        <v>2194</v>
      </c>
      <c r="O171" s="67">
        <f t="shared" si="385"/>
        <v>3.875777275296778E-3</v>
      </c>
      <c r="P171" s="3">
        <f>516823+48823+434</f>
        <v>566080</v>
      </c>
      <c r="Q171" s="68">
        <v>2445</v>
      </c>
      <c r="R171" s="67">
        <f t="shared" si="386"/>
        <v>0.22406524926686217</v>
      </c>
      <c r="S171" s="40">
        <v>10912</v>
      </c>
      <c r="T171" s="3">
        <v>310</v>
      </c>
      <c r="U171" s="7">
        <f t="shared" si="387"/>
        <v>0.69351230425055932</v>
      </c>
      <c r="V171" s="44">
        <v>447</v>
      </c>
      <c r="W171" s="63">
        <f t="shared" si="388"/>
        <v>4949</v>
      </c>
      <c r="X171" s="7">
        <f t="shared" si="389"/>
        <v>8.5706022627498324E-3</v>
      </c>
      <c r="Y171" s="26">
        <f t="shared" si="390"/>
        <v>577439</v>
      </c>
      <c r="Z171" s="63">
        <v>1672</v>
      </c>
      <c r="AA171" s="7">
        <f t="shared" si="394"/>
        <v>4.5474325500435162E-2</v>
      </c>
      <c r="AB171" s="3">
        <v>36768</v>
      </c>
      <c r="AC171" s="42">
        <v>86</v>
      </c>
      <c r="AD171" s="7">
        <f t="shared" si="395"/>
        <v>0.4</v>
      </c>
      <c r="AE171" s="43">
        <v>215</v>
      </c>
      <c r="AF171" s="13">
        <v>11</v>
      </c>
      <c r="AG171" s="7">
        <f t="shared" si="396"/>
        <v>0.6470588235294118</v>
      </c>
      <c r="AH171" s="44">
        <v>17</v>
      </c>
      <c r="AI171" s="63">
        <f t="shared" si="391"/>
        <v>1769</v>
      </c>
      <c r="AJ171" s="7">
        <f t="shared" si="392"/>
        <v>4.781081081081081E-2</v>
      </c>
      <c r="AK171" s="26">
        <f t="shared" si="393"/>
        <v>37000</v>
      </c>
      <c r="AL171" s="41"/>
      <c r="AM171" s="13"/>
      <c r="AN171" s="13"/>
      <c r="AO171" s="44"/>
      <c r="AP171" s="63">
        <v>5790</v>
      </c>
      <c r="AQ171" s="15"/>
      <c r="AR171" s="13"/>
      <c r="AS171" s="13"/>
      <c r="AT171" s="44"/>
      <c r="AU171" s="5"/>
      <c r="AV171" s="5"/>
      <c r="AW171" s="5"/>
      <c r="AX171" s="5"/>
    </row>
    <row r="172" spans="1:50" x14ac:dyDescent="0.15">
      <c r="A172" s="147">
        <v>38534</v>
      </c>
      <c r="B172" s="3">
        <v>430</v>
      </c>
      <c r="C172" s="13"/>
      <c r="D172" s="13"/>
      <c r="E172" s="57">
        <v>328</v>
      </c>
      <c r="F172" s="13"/>
      <c r="G172" s="43"/>
      <c r="H172" s="13">
        <v>22</v>
      </c>
      <c r="I172" s="13"/>
      <c r="J172" s="13"/>
      <c r="K172" s="41"/>
      <c r="L172" s="13"/>
      <c r="M172" s="44"/>
      <c r="N172" s="64">
        <v>1898</v>
      </c>
      <c r="O172" s="67">
        <f t="shared" si="385"/>
        <v>3.3553072368921158E-3</v>
      </c>
      <c r="P172" s="3">
        <f>516378+48859+434</f>
        <v>565671</v>
      </c>
      <c r="Q172" s="68">
        <v>2427</v>
      </c>
      <c r="R172" s="67">
        <f t="shared" si="386"/>
        <v>0.22309035756962955</v>
      </c>
      <c r="S172" s="40">
        <v>10879</v>
      </c>
      <c r="T172" s="3">
        <v>310</v>
      </c>
      <c r="U172" s="7">
        <f t="shared" si="387"/>
        <v>0.69351230425055932</v>
      </c>
      <c r="V172" s="44">
        <v>447</v>
      </c>
      <c r="W172" s="63">
        <f t="shared" si="388"/>
        <v>4635</v>
      </c>
      <c r="X172" s="7">
        <f t="shared" si="389"/>
        <v>8.0329707086865265E-3</v>
      </c>
      <c r="Y172" s="26">
        <f t="shared" si="390"/>
        <v>576997</v>
      </c>
      <c r="Z172" s="63">
        <v>1679</v>
      </c>
      <c r="AA172" s="7">
        <f t="shared" si="394"/>
        <v>4.5710707576706325E-2</v>
      </c>
      <c r="AB172" s="3">
        <v>36731</v>
      </c>
      <c r="AC172" s="42">
        <v>86</v>
      </c>
      <c r="AD172" s="7">
        <f t="shared" si="395"/>
        <v>0.39814814814814814</v>
      </c>
      <c r="AE172" s="43">
        <v>216</v>
      </c>
      <c r="AF172" s="13">
        <v>11</v>
      </c>
      <c r="AG172" s="7">
        <f t="shared" si="396"/>
        <v>0.6470588235294118</v>
      </c>
      <c r="AH172" s="44">
        <v>17</v>
      </c>
      <c r="AI172" s="63">
        <f t="shared" si="391"/>
        <v>1776</v>
      </c>
      <c r="AJ172" s="7">
        <f t="shared" si="392"/>
        <v>4.8046748187425603E-2</v>
      </c>
      <c r="AK172" s="26">
        <f t="shared" si="393"/>
        <v>36964</v>
      </c>
      <c r="AL172" s="41"/>
      <c r="AM172" s="13"/>
      <c r="AN172" s="13"/>
      <c r="AO172" s="44"/>
      <c r="AP172" s="63">
        <v>5806</v>
      </c>
      <c r="AQ172" s="15"/>
      <c r="AR172" s="13"/>
      <c r="AS172" s="13"/>
      <c r="AT172" s="44"/>
      <c r="AU172" s="5"/>
      <c r="AV172" s="5"/>
      <c r="AW172" s="5"/>
      <c r="AX172" s="5"/>
    </row>
    <row r="173" spans="1:50" x14ac:dyDescent="0.15">
      <c r="A173" s="147">
        <v>38504</v>
      </c>
      <c r="B173" s="3">
        <v>421</v>
      </c>
      <c r="C173" s="13"/>
      <c r="D173" s="13"/>
      <c r="E173" s="57">
        <v>330</v>
      </c>
      <c r="F173" s="13"/>
      <c r="G173" s="43"/>
      <c r="H173" s="13">
        <v>22</v>
      </c>
      <c r="I173" s="13"/>
      <c r="J173" s="13"/>
      <c r="K173" s="41"/>
      <c r="L173" s="13"/>
      <c r="M173" s="44"/>
      <c r="N173" s="64">
        <v>1835</v>
      </c>
      <c r="O173" s="67">
        <f t="shared" si="385"/>
        <v>3.2465751728115695E-3</v>
      </c>
      <c r="P173" s="3">
        <f>515936+48840+435</f>
        <v>565211</v>
      </c>
      <c r="Q173" s="68">
        <v>2462</v>
      </c>
      <c r="R173" s="67">
        <f t="shared" si="386"/>
        <v>0.22664089109822333</v>
      </c>
      <c r="S173" s="40">
        <v>10863</v>
      </c>
      <c r="T173" s="3">
        <v>306</v>
      </c>
      <c r="U173" s="7">
        <f t="shared" si="387"/>
        <v>0.68609865470852016</v>
      </c>
      <c r="V173" s="44">
        <v>446</v>
      </c>
      <c r="W173" s="63">
        <f t="shared" si="388"/>
        <v>4603</v>
      </c>
      <c r="X173" s="7">
        <f t="shared" si="389"/>
        <v>7.9841115659474091E-3</v>
      </c>
      <c r="Y173" s="26">
        <f t="shared" si="390"/>
        <v>576520</v>
      </c>
      <c r="Z173" s="63">
        <v>1704</v>
      </c>
      <c r="AA173" s="7">
        <f t="shared" si="394"/>
        <v>4.6403965033631984E-2</v>
      </c>
      <c r="AB173" s="3">
        <v>36721</v>
      </c>
      <c r="AC173" s="42">
        <v>85</v>
      </c>
      <c r="AD173" s="7">
        <f t="shared" si="395"/>
        <v>0.40284360189573459</v>
      </c>
      <c r="AE173" s="43">
        <v>211</v>
      </c>
      <c r="AF173" s="13">
        <v>11</v>
      </c>
      <c r="AG173" s="7">
        <f t="shared" si="396"/>
        <v>0.6470588235294118</v>
      </c>
      <c r="AH173" s="44">
        <v>17</v>
      </c>
      <c r="AI173" s="63">
        <f t="shared" si="391"/>
        <v>1800</v>
      </c>
      <c r="AJ173" s="7">
        <f t="shared" si="392"/>
        <v>4.8715797450539937E-2</v>
      </c>
      <c r="AK173" s="26">
        <f t="shared" si="393"/>
        <v>36949</v>
      </c>
      <c r="AL173" s="41"/>
      <c r="AM173" s="13"/>
      <c r="AN173" s="13"/>
      <c r="AO173" s="44"/>
      <c r="AP173" s="63">
        <v>5472</v>
      </c>
      <c r="AQ173" s="15"/>
      <c r="AR173" s="13"/>
      <c r="AS173" s="13"/>
      <c r="AT173" s="44"/>
      <c r="AU173" s="5"/>
      <c r="AV173" s="5"/>
      <c r="AW173" s="5"/>
      <c r="AX173" s="5"/>
    </row>
    <row r="174" spans="1:50" x14ac:dyDescent="0.15">
      <c r="A174" s="147">
        <v>38473</v>
      </c>
      <c r="B174" s="3">
        <v>399</v>
      </c>
      <c r="C174" s="13"/>
      <c r="D174" s="13"/>
      <c r="E174" s="57">
        <v>332</v>
      </c>
      <c r="F174" s="13"/>
      <c r="G174" s="43"/>
      <c r="H174" s="13">
        <v>19</v>
      </c>
      <c r="I174" s="13"/>
      <c r="J174" s="13"/>
      <c r="K174" s="41"/>
      <c r="L174" s="13"/>
      <c r="M174" s="44"/>
      <c r="N174" s="64">
        <v>1747</v>
      </c>
      <c r="O174" s="67">
        <f t="shared" si="385"/>
        <v>3.0902086200370045E-3</v>
      </c>
      <c r="P174" s="3">
        <f>516164+48734+436</f>
        <v>565334</v>
      </c>
      <c r="Q174" s="68">
        <v>2476</v>
      </c>
      <c r="R174" s="67">
        <f t="shared" si="386"/>
        <v>0.22795065365494385</v>
      </c>
      <c r="S174" s="40">
        <v>10862</v>
      </c>
      <c r="T174" s="3">
        <v>309</v>
      </c>
      <c r="U174" s="7">
        <f t="shared" si="387"/>
        <v>0.69751693002257331</v>
      </c>
      <c r="V174" s="44">
        <v>443</v>
      </c>
      <c r="W174" s="63">
        <f t="shared" si="388"/>
        <v>4532</v>
      </c>
      <c r="X174" s="7">
        <f t="shared" si="389"/>
        <v>7.859336604010482E-3</v>
      </c>
      <c r="Y174" s="26">
        <f t="shared" si="390"/>
        <v>576639</v>
      </c>
      <c r="Z174" s="63">
        <v>2248</v>
      </c>
      <c r="AA174" s="7">
        <f t="shared" si="394"/>
        <v>6.1563740928385596E-2</v>
      </c>
      <c r="AB174" s="3">
        <v>36515</v>
      </c>
      <c r="AC174" s="42">
        <v>117</v>
      </c>
      <c r="AD174" s="7">
        <f t="shared" si="395"/>
        <v>0.54929577464788737</v>
      </c>
      <c r="AE174" s="43">
        <v>213</v>
      </c>
      <c r="AF174" s="13">
        <v>11</v>
      </c>
      <c r="AG174" s="7">
        <f t="shared" si="396"/>
        <v>0.6470588235294118</v>
      </c>
      <c r="AH174" s="44">
        <v>17</v>
      </c>
      <c r="AI174" s="63">
        <f t="shared" si="391"/>
        <v>2376</v>
      </c>
      <c r="AJ174" s="7">
        <f t="shared" si="392"/>
        <v>6.4661858756293378E-2</v>
      </c>
      <c r="AK174" s="26">
        <f t="shared" si="393"/>
        <v>36745</v>
      </c>
      <c r="AL174" s="41"/>
      <c r="AM174" s="13"/>
      <c r="AN174" s="13"/>
      <c r="AO174" s="44"/>
      <c r="AP174" s="63">
        <v>5514</v>
      </c>
      <c r="AQ174" s="15"/>
      <c r="AR174" s="13"/>
      <c r="AS174" s="13"/>
      <c r="AT174" s="44"/>
      <c r="AU174" s="5"/>
      <c r="AV174" s="5"/>
      <c r="AW174" s="5"/>
      <c r="AX174" s="5"/>
    </row>
    <row r="175" spans="1:50" x14ac:dyDescent="0.15">
      <c r="A175" s="147">
        <v>38443</v>
      </c>
      <c r="B175" s="3">
        <v>351</v>
      </c>
      <c r="C175" s="13"/>
      <c r="D175" s="13"/>
      <c r="E175" s="57">
        <v>331</v>
      </c>
      <c r="F175" s="13"/>
      <c r="G175" s="43"/>
      <c r="H175" s="13">
        <v>22</v>
      </c>
      <c r="I175" s="13"/>
      <c r="J175" s="13"/>
      <c r="K175" s="41"/>
      <c r="L175" s="13"/>
      <c r="M175" s="44"/>
      <c r="N175" s="64">
        <v>1234</v>
      </c>
      <c r="O175" s="67">
        <f t="shared" si="385"/>
        <v>2.1839007227755715E-3</v>
      </c>
      <c r="P175" s="3">
        <f>516007+48602+435</f>
        <v>565044</v>
      </c>
      <c r="Q175" s="68">
        <v>2520</v>
      </c>
      <c r="R175" s="67">
        <f t="shared" si="386"/>
        <v>0.23083264633140974</v>
      </c>
      <c r="S175" s="40">
        <v>10917</v>
      </c>
      <c r="T175" s="3">
        <v>311</v>
      </c>
      <c r="U175" s="7">
        <f t="shared" si="387"/>
        <v>0.69730941704035876</v>
      </c>
      <c r="V175" s="44">
        <v>446</v>
      </c>
      <c r="W175" s="63">
        <f t="shared" si="388"/>
        <v>4065</v>
      </c>
      <c r="X175" s="7">
        <f t="shared" si="389"/>
        <v>7.0523085250526101E-3</v>
      </c>
      <c r="Y175" s="26">
        <f t="shared" si="390"/>
        <v>576407</v>
      </c>
      <c r="Z175" s="63">
        <v>2261</v>
      </c>
      <c r="AA175" s="7">
        <f t="shared" si="394"/>
        <v>6.1595880894652247E-2</v>
      </c>
      <c r="AB175" s="3">
        <v>36707</v>
      </c>
      <c r="AC175" s="42">
        <v>116</v>
      </c>
      <c r="AD175" s="7">
        <f t="shared" si="395"/>
        <v>0.54205607476635509</v>
      </c>
      <c r="AE175" s="43">
        <v>214</v>
      </c>
      <c r="AF175" s="13">
        <v>11</v>
      </c>
      <c r="AG175" s="7">
        <f t="shared" si="396"/>
        <v>0.6470588235294118</v>
      </c>
      <c r="AH175" s="44">
        <v>17</v>
      </c>
      <c r="AI175" s="63">
        <f t="shared" si="391"/>
        <v>2388</v>
      </c>
      <c r="AJ175" s="7">
        <f t="shared" si="392"/>
        <v>6.464887108127132E-2</v>
      </c>
      <c r="AK175" s="26">
        <f t="shared" si="393"/>
        <v>36938</v>
      </c>
      <c r="AL175" s="41"/>
      <c r="AM175" s="13"/>
      <c r="AN175" s="13"/>
      <c r="AO175" s="44"/>
      <c r="AP175" s="63">
        <v>6086</v>
      </c>
      <c r="AQ175" s="15"/>
      <c r="AR175" s="13"/>
      <c r="AS175" s="13"/>
      <c r="AT175" s="44"/>
      <c r="AU175" s="5"/>
      <c r="AV175" s="5"/>
      <c r="AW175" s="5"/>
      <c r="AX175" s="5"/>
    </row>
    <row r="176" spans="1:50" x14ac:dyDescent="0.15">
      <c r="A176" s="147">
        <v>38412</v>
      </c>
      <c r="B176" s="3">
        <v>325</v>
      </c>
      <c r="C176" s="13"/>
      <c r="D176" s="13"/>
      <c r="E176" s="57">
        <v>327</v>
      </c>
      <c r="F176" s="13"/>
      <c r="G176" s="43"/>
      <c r="H176" s="13">
        <v>22</v>
      </c>
      <c r="I176" s="13"/>
      <c r="J176" s="13"/>
      <c r="K176" s="41"/>
      <c r="L176" s="13"/>
      <c r="M176" s="44"/>
      <c r="N176" s="64">
        <v>1100</v>
      </c>
      <c r="O176" s="67">
        <f t="shared" si="385"/>
        <v>1.9482543640897756E-3</v>
      </c>
      <c r="P176" s="3">
        <f>515606+48567+435</f>
        <v>564608</v>
      </c>
      <c r="Q176" s="68">
        <v>2505</v>
      </c>
      <c r="R176" s="67">
        <f t="shared" si="386"/>
        <v>0.2291228391109485</v>
      </c>
      <c r="S176" s="40">
        <v>10933</v>
      </c>
      <c r="T176" s="3">
        <v>308</v>
      </c>
      <c r="U176" s="7">
        <f t="shared" si="387"/>
        <v>0.68596881959910916</v>
      </c>
      <c r="V176" s="44">
        <v>449</v>
      </c>
      <c r="W176" s="63">
        <f t="shared" si="388"/>
        <v>3913</v>
      </c>
      <c r="X176" s="7">
        <f t="shared" si="389"/>
        <v>6.7935207208458482E-3</v>
      </c>
      <c r="Y176" s="26">
        <f t="shared" si="390"/>
        <v>575990</v>
      </c>
      <c r="Z176" s="63">
        <v>2332</v>
      </c>
      <c r="AA176" s="7">
        <f t="shared" si="394"/>
        <v>6.3518004031159772E-2</v>
      </c>
      <c r="AB176" s="3">
        <v>36714</v>
      </c>
      <c r="AC176" s="42">
        <v>121</v>
      </c>
      <c r="AD176" s="7">
        <f t="shared" si="395"/>
        <v>0.568075117370892</v>
      </c>
      <c r="AE176" s="43">
        <v>213</v>
      </c>
      <c r="AF176" s="13">
        <v>12</v>
      </c>
      <c r="AG176" s="7">
        <f t="shared" si="396"/>
        <v>0.70588235294117652</v>
      </c>
      <c r="AH176" s="44">
        <v>17</v>
      </c>
      <c r="AI176" s="63">
        <f t="shared" si="391"/>
        <v>2465</v>
      </c>
      <c r="AJ176" s="7">
        <f t="shared" si="392"/>
        <v>6.6722607189259417E-2</v>
      </c>
      <c r="AK176" s="26">
        <f t="shared" si="393"/>
        <v>36944</v>
      </c>
      <c r="AL176" s="41"/>
      <c r="AM176" s="13"/>
      <c r="AN176" s="13"/>
      <c r="AO176" s="44"/>
      <c r="AP176" s="63">
        <v>6110</v>
      </c>
      <c r="AQ176" s="15"/>
      <c r="AR176" s="13"/>
      <c r="AS176" s="13"/>
      <c r="AT176" s="44"/>
      <c r="AU176" s="5"/>
      <c r="AV176" s="5"/>
      <c r="AW176" s="5"/>
      <c r="AX176" s="5"/>
    </row>
    <row r="177" spans="1:50" x14ac:dyDescent="0.15">
      <c r="A177" s="147">
        <v>38384</v>
      </c>
      <c r="B177" s="3">
        <v>508</v>
      </c>
      <c r="C177" s="13"/>
      <c r="D177" s="13"/>
      <c r="E177" s="57">
        <v>327</v>
      </c>
      <c r="F177" s="13"/>
      <c r="G177" s="43"/>
      <c r="H177" s="13">
        <v>22</v>
      </c>
      <c r="I177" s="13"/>
      <c r="J177" s="13"/>
      <c r="K177" s="41"/>
      <c r="L177" s="13"/>
      <c r="M177" s="44"/>
      <c r="N177" s="63">
        <v>2450</v>
      </c>
      <c r="O177" s="67">
        <f t="shared" si="385"/>
        <v>4.3414083528696707E-3</v>
      </c>
      <c r="P177" s="3">
        <f>515310+48588+435</f>
        <v>564333</v>
      </c>
      <c r="Q177" s="68">
        <v>2458</v>
      </c>
      <c r="R177" s="67">
        <f t="shared" si="386"/>
        <v>0.22429053745779726</v>
      </c>
      <c r="S177" s="40">
        <v>10959</v>
      </c>
      <c r="T177" s="3">
        <v>306</v>
      </c>
      <c r="U177" s="7">
        <f t="shared" si="387"/>
        <v>0.68456375838926176</v>
      </c>
      <c r="V177" s="44">
        <v>447</v>
      </c>
      <c r="W177" s="63">
        <f t="shared" si="388"/>
        <v>5214</v>
      </c>
      <c r="X177" s="7">
        <f t="shared" si="389"/>
        <v>9.0561869180305656E-3</v>
      </c>
      <c r="Y177" s="26">
        <f t="shared" si="390"/>
        <v>575739</v>
      </c>
      <c r="Z177" s="63">
        <v>2663</v>
      </c>
      <c r="AA177" s="7">
        <f t="shared" si="394"/>
        <v>7.2541541814219554E-2</v>
      </c>
      <c r="AB177" s="3">
        <v>36710</v>
      </c>
      <c r="AC177" s="42">
        <v>127</v>
      </c>
      <c r="AD177" s="7">
        <f t="shared" si="395"/>
        <v>0.59905660377358494</v>
      </c>
      <c r="AE177" s="43">
        <v>212</v>
      </c>
      <c r="AF177" s="13">
        <v>12</v>
      </c>
      <c r="AG177" s="7">
        <f t="shared" si="396"/>
        <v>0.70588235294117652</v>
      </c>
      <c r="AH177" s="44">
        <v>17</v>
      </c>
      <c r="AI177" s="63">
        <f t="shared" si="391"/>
        <v>2802</v>
      </c>
      <c r="AJ177" s="7">
        <f t="shared" si="392"/>
        <v>7.5854787622837649E-2</v>
      </c>
      <c r="AK177" s="26">
        <f t="shared" si="393"/>
        <v>36939</v>
      </c>
      <c r="AL177" s="41"/>
      <c r="AM177" s="13"/>
      <c r="AN177" s="13"/>
      <c r="AO177" s="44"/>
      <c r="AP177" s="63">
        <v>6372</v>
      </c>
      <c r="AQ177" s="15"/>
      <c r="AR177" s="13"/>
      <c r="AS177" s="13"/>
      <c r="AT177" s="44"/>
      <c r="AU177" s="5"/>
      <c r="AV177" s="5"/>
      <c r="AW177" s="5"/>
      <c r="AX177" s="5"/>
    </row>
    <row r="178" spans="1:50" x14ac:dyDescent="0.15">
      <c r="A178" s="147">
        <v>38353</v>
      </c>
      <c r="B178" s="3">
        <v>507</v>
      </c>
      <c r="C178" s="13"/>
      <c r="D178" s="13"/>
      <c r="E178" s="57">
        <v>315</v>
      </c>
      <c r="F178" s="13"/>
      <c r="G178" s="43"/>
      <c r="H178" s="13">
        <v>22</v>
      </c>
      <c r="I178" s="13"/>
      <c r="J178" s="13"/>
      <c r="K178" s="41"/>
      <c r="L178" s="13"/>
      <c r="M178" s="44"/>
      <c r="N178" s="63">
        <v>2400</v>
      </c>
      <c r="O178" s="67">
        <f t="shared" si="385"/>
        <v>4.2602667992083006E-3</v>
      </c>
      <c r="P178" s="3">
        <f>514400+48509+436</f>
        <v>563345</v>
      </c>
      <c r="Q178" s="68">
        <v>2435</v>
      </c>
      <c r="R178" s="67">
        <f t="shared" si="386"/>
        <v>0.22219180582169906</v>
      </c>
      <c r="S178" s="40">
        <v>10959</v>
      </c>
      <c r="T178" s="3">
        <v>303</v>
      </c>
      <c r="U178" s="7">
        <f t="shared" si="387"/>
        <v>0.679372197309417</v>
      </c>
      <c r="V178" s="44">
        <v>446</v>
      </c>
      <c r="W178" s="63">
        <f t="shared" si="388"/>
        <v>5138</v>
      </c>
      <c r="X178" s="7">
        <f t="shared" si="389"/>
        <v>8.9395389299695514E-3</v>
      </c>
      <c r="Y178" s="26">
        <f t="shared" si="390"/>
        <v>574750</v>
      </c>
      <c r="Z178" s="63">
        <v>2672</v>
      </c>
      <c r="AA178" s="7">
        <f t="shared" si="394"/>
        <v>7.280058850775141E-2</v>
      </c>
      <c r="AB178" s="3">
        <v>36703</v>
      </c>
      <c r="AC178" s="42">
        <v>128</v>
      </c>
      <c r="AD178" s="7">
        <f t="shared" si="395"/>
        <v>0.58715596330275233</v>
      </c>
      <c r="AE178" s="43">
        <v>218</v>
      </c>
      <c r="AF178" s="13">
        <v>12</v>
      </c>
      <c r="AG178" s="7">
        <f t="shared" si="396"/>
        <v>0.70588235294117652</v>
      </c>
      <c r="AH178" s="44">
        <v>17</v>
      </c>
      <c r="AI178" s="63">
        <f t="shared" si="391"/>
        <v>2812</v>
      </c>
      <c r="AJ178" s="7">
        <f t="shared" si="392"/>
        <v>7.6127565109101736E-2</v>
      </c>
      <c r="AK178" s="26">
        <f t="shared" si="393"/>
        <v>36938</v>
      </c>
      <c r="AL178" s="41"/>
      <c r="AM178" s="13"/>
      <c r="AN178" s="13"/>
      <c r="AO178" s="44"/>
      <c r="AP178" s="63">
        <v>8854</v>
      </c>
      <c r="AQ178" s="15"/>
      <c r="AR178" s="13"/>
      <c r="AS178" s="13"/>
      <c r="AT178" s="44"/>
      <c r="AU178" s="5"/>
      <c r="AV178" s="5"/>
      <c r="AW178" s="5"/>
      <c r="AX178" s="5"/>
    </row>
    <row r="179" spans="1:50" x14ac:dyDescent="0.15">
      <c r="A179" s="147">
        <v>38322</v>
      </c>
      <c r="B179" s="3">
        <v>496</v>
      </c>
      <c r="C179" s="13"/>
      <c r="D179" s="13"/>
      <c r="E179" s="57">
        <v>304</v>
      </c>
      <c r="F179" s="13"/>
      <c r="G179" s="43"/>
      <c r="H179" s="13">
        <v>22</v>
      </c>
      <c r="I179" s="13"/>
      <c r="J179" s="13"/>
      <c r="K179" s="41"/>
      <c r="L179" s="13"/>
      <c r="M179" s="44"/>
      <c r="N179" s="63">
        <v>2346</v>
      </c>
      <c r="O179" s="67">
        <f t="shared" si="385"/>
        <v>4.1736642851043235E-3</v>
      </c>
      <c r="P179" s="3">
        <f>513156+48505+435</f>
        <v>562096</v>
      </c>
      <c r="Q179" s="68">
        <v>2454</v>
      </c>
      <c r="R179" s="67">
        <f t="shared" si="386"/>
        <v>0.22429394022484234</v>
      </c>
      <c r="S179" s="40">
        <v>10941</v>
      </c>
      <c r="T179" s="3">
        <v>299</v>
      </c>
      <c r="U179" s="7">
        <f t="shared" si="387"/>
        <v>0.67494356659142207</v>
      </c>
      <c r="V179" s="44">
        <v>443</v>
      </c>
      <c r="W179" s="63">
        <f t="shared" si="388"/>
        <v>5099</v>
      </c>
      <c r="X179" s="7">
        <f t="shared" si="389"/>
        <v>8.8913301248517828E-3</v>
      </c>
      <c r="Y179" s="26">
        <f t="shared" si="390"/>
        <v>573480</v>
      </c>
      <c r="Z179" s="63">
        <v>2671</v>
      </c>
      <c r="AA179" s="13"/>
      <c r="AB179" s="13"/>
      <c r="AC179" s="42">
        <v>128</v>
      </c>
      <c r="AD179" s="13"/>
      <c r="AE179" s="43"/>
      <c r="AF179" s="13">
        <v>12</v>
      </c>
      <c r="AG179" s="13"/>
      <c r="AH179" s="44"/>
      <c r="AI179" s="41"/>
      <c r="AJ179" s="13"/>
      <c r="AK179" s="44"/>
      <c r="AL179" s="41"/>
      <c r="AM179" s="13"/>
      <c r="AN179" s="13"/>
      <c r="AO179" s="44"/>
      <c r="AP179" s="63">
        <v>8778</v>
      </c>
      <c r="AQ179" s="15"/>
      <c r="AR179" s="13"/>
      <c r="AS179" s="13"/>
      <c r="AT179" s="44"/>
      <c r="AU179" s="5"/>
      <c r="AV179" s="5"/>
      <c r="AW179" s="5"/>
      <c r="AX179" s="5"/>
    </row>
    <row r="180" spans="1:50" x14ac:dyDescent="0.15">
      <c r="A180" s="147">
        <v>38292</v>
      </c>
      <c r="B180" s="3">
        <v>492</v>
      </c>
      <c r="C180" s="13"/>
      <c r="D180" s="13"/>
      <c r="E180" s="57">
        <v>293</v>
      </c>
      <c r="F180" s="13"/>
      <c r="G180" s="43"/>
      <c r="H180" s="13">
        <v>21</v>
      </c>
      <c r="I180" s="13"/>
      <c r="J180" s="13"/>
      <c r="K180" s="41"/>
      <c r="L180" s="13"/>
      <c r="M180" s="44"/>
      <c r="N180" s="63">
        <v>2280</v>
      </c>
      <c r="O180" s="67">
        <f t="shared" si="385"/>
        <v>4.0670782502287735E-3</v>
      </c>
      <c r="P180" s="3">
        <f>511832+48334+433</f>
        <v>560599</v>
      </c>
      <c r="Q180" s="68">
        <v>2448</v>
      </c>
      <c r="R180" s="67">
        <f t="shared" si="386"/>
        <v>0.22210125204137179</v>
      </c>
      <c r="S180" s="40">
        <v>11022</v>
      </c>
      <c r="T180" s="3">
        <v>303</v>
      </c>
      <c r="U180" s="7">
        <f t="shared" si="387"/>
        <v>0.68243243243243246</v>
      </c>
      <c r="V180" s="44">
        <v>444</v>
      </c>
      <c r="W180" s="63">
        <f t="shared" si="388"/>
        <v>5031</v>
      </c>
      <c r="X180" s="7">
        <f t="shared" si="389"/>
        <v>8.7944551755482336E-3</v>
      </c>
      <c r="Y180" s="26">
        <f t="shared" si="390"/>
        <v>572065</v>
      </c>
      <c r="Z180" s="63">
        <v>2682</v>
      </c>
      <c r="AA180" s="13"/>
      <c r="AB180" s="13"/>
      <c r="AC180" s="42">
        <v>128</v>
      </c>
      <c r="AD180" s="13"/>
      <c r="AE180" s="43"/>
      <c r="AF180" s="13">
        <v>12</v>
      </c>
      <c r="AG180" s="13"/>
      <c r="AH180" s="44"/>
      <c r="AI180" s="41"/>
      <c r="AJ180" s="13"/>
      <c r="AK180" s="44"/>
      <c r="AL180" s="41"/>
      <c r="AM180" s="13"/>
      <c r="AN180" s="13"/>
      <c r="AO180" s="44"/>
      <c r="AP180" s="63">
        <v>8717</v>
      </c>
      <c r="AQ180" s="15"/>
      <c r="AR180" s="13"/>
      <c r="AS180" s="13"/>
      <c r="AT180" s="44"/>
      <c r="AU180" s="5"/>
      <c r="AV180" s="5"/>
      <c r="AW180" s="5"/>
      <c r="AX180" s="5"/>
    </row>
    <row r="181" spans="1:50" x14ac:dyDescent="0.15">
      <c r="A181" s="147">
        <v>38261</v>
      </c>
      <c r="B181" s="3">
        <v>479</v>
      </c>
      <c r="C181" s="13"/>
      <c r="D181" s="13"/>
      <c r="E181" s="57">
        <v>300</v>
      </c>
      <c r="F181" s="13"/>
      <c r="G181" s="43"/>
      <c r="H181" s="13">
        <v>21</v>
      </c>
      <c r="I181" s="13"/>
      <c r="J181" s="13"/>
      <c r="K181" s="41"/>
      <c r="L181" s="13"/>
      <c r="M181" s="44"/>
      <c r="N181" s="63">
        <v>2293</v>
      </c>
      <c r="O181" s="67">
        <f t="shared" si="385"/>
        <v>4.0985877478501628E-3</v>
      </c>
      <c r="P181" s="3">
        <f>510794+48233+434</f>
        <v>559461</v>
      </c>
      <c r="Q181" s="68">
        <v>2352</v>
      </c>
      <c r="R181" s="67">
        <f t="shared" si="386"/>
        <v>0.21246612466124662</v>
      </c>
      <c r="S181" s="40">
        <v>11070</v>
      </c>
      <c r="T181" s="3">
        <v>262</v>
      </c>
      <c r="U181" s="7">
        <f t="shared" si="387"/>
        <v>0.6164705882352941</v>
      </c>
      <c r="V181" s="44">
        <v>425</v>
      </c>
      <c r="W181" s="63">
        <f t="shared" si="388"/>
        <v>4907</v>
      </c>
      <c r="X181" s="7">
        <f t="shared" si="389"/>
        <v>8.5943575336803538E-3</v>
      </c>
      <c r="Y181" s="26">
        <f t="shared" si="390"/>
        <v>570956</v>
      </c>
      <c r="Z181" s="63">
        <v>2648</v>
      </c>
      <c r="AA181" s="13"/>
      <c r="AB181" s="13"/>
      <c r="AC181" s="42">
        <v>128</v>
      </c>
      <c r="AD181" s="13"/>
      <c r="AE181" s="43"/>
      <c r="AF181" s="13">
        <v>12</v>
      </c>
      <c r="AG181" s="13"/>
      <c r="AH181" s="44"/>
      <c r="AI181" s="41"/>
      <c r="AJ181" s="13"/>
      <c r="AK181" s="44"/>
      <c r="AL181" s="41"/>
      <c r="AM181" s="13"/>
      <c r="AN181" s="13"/>
      <c r="AO181" s="44"/>
      <c r="AP181" s="63">
        <v>8557</v>
      </c>
      <c r="AQ181" s="15"/>
      <c r="AR181" s="13"/>
      <c r="AS181" s="13"/>
      <c r="AT181" s="44"/>
      <c r="AU181" s="5"/>
      <c r="AV181" s="5"/>
      <c r="AW181" s="5"/>
      <c r="AX181" s="5"/>
    </row>
    <row r="182" spans="1:50" x14ac:dyDescent="0.15">
      <c r="A182" s="147">
        <v>38231</v>
      </c>
      <c r="B182" s="3">
        <v>477</v>
      </c>
      <c r="C182" s="13"/>
      <c r="D182" s="13"/>
      <c r="E182" s="57">
        <v>300</v>
      </c>
      <c r="F182" s="13"/>
      <c r="G182" s="43"/>
      <c r="H182" s="13">
        <v>20</v>
      </c>
      <c r="I182" s="13"/>
      <c r="J182" s="13"/>
      <c r="K182" s="41"/>
      <c r="L182" s="13"/>
      <c r="M182" s="44"/>
      <c r="N182" s="63">
        <v>2280</v>
      </c>
      <c r="O182" s="67">
        <f t="shared" si="385"/>
        <v>4.0795804473582036E-3</v>
      </c>
      <c r="P182" s="3">
        <f>510093+48355+433</f>
        <v>558881</v>
      </c>
      <c r="Q182" s="68">
        <v>2396</v>
      </c>
      <c r="R182" s="67">
        <f t="shared" si="386"/>
        <v>0.21845368344274252</v>
      </c>
      <c r="S182" s="40">
        <v>10968</v>
      </c>
      <c r="T182" s="3">
        <v>253</v>
      </c>
      <c r="U182" s="7">
        <f t="shared" si="387"/>
        <v>0.59810874704491723</v>
      </c>
      <c r="V182" s="44">
        <v>423</v>
      </c>
      <c r="W182" s="63">
        <f t="shared" si="388"/>
        <v>4929</v>
      </c>
      <c r="X182" s="7">
        <f t="shared" si="389"/>
        <v>8.6432439257056286E-3</v>
      </c>
      <c r="Y182" s="26">
        <f t="shared" si="390"/>
        <v>570272</v>
      </c>
      <c r="Z182" s="63">
        <v>2649</v>
      </c>
      <c r="AA182" s="13"/>
      <c r="AB182" s="13"/>
      <c r="AC182" s="42">
        <v>125</v>
      </c>
      <c r="AD182" s="13"/>
      <c r="AE182" s="43"/>
      <c r="AF182" s="13">
        <v>12</v>
      </c>
      <c r="AG182" s="13"/>
      <c r="AH182" s="44"/>
      <c r="AI182" s="41"/>
      <c r="AJ182" s="13"/>
      <c r="AK182" s="44"/>
      <c r="AL182" s="41"/>
      <c r="AM182" s="13"/>
      <c r="AN182" s="13"/>
      <c r="AO182" s="44"/>
      <c r="AP182" s="63">
        <v>8495</v>
      </c>
      <c r="AQ182" s="15"/>
      <c r="AR182" s="13"/>
      <c r="AS182" s="13"/>
      <c r="AT182" s="44"/>
      <c r="AU182" s="5"/>
      <c r="AV182" s="5"/>
      <c r="AW182" s="5"/>
      <c r="AX182" s="5"/>
    </row>
    <row r="183" spans="1:50" x14ac:dyDescent="0.15">
      <c r="A183" s="147">
        <v>38200</v>
      </c>
      <c r="B183" s="3">
        <v>471</v>
      </c>
      <c r="C183" s="13"/>
      <c r="D183" s="13"/>
      <c r="E183" s="57">
        <v>300</v>
      </c>
      <c r="F183" s="13"/>
      <c r="G183" s="43"/>
      <c r="H183" s="13">
        <v>20</v>
      </c>
      <c r="I183" s="13"/>
      <c r="J183" s="13"/>
      <c r="K183" s="41"/>
      <c r="L183" s="13"/>
      <c r="M183" s="44"/>
      <c r="N183" s="63">
        <v>2248</v>
      </c>
      <c r="O183" s="67">
        <f t="shared" si="385"/>
        <v>4.0294392841650926E-3</v>
      </c>
      <c r="P183" s="3">
        <f>509167+48293+434</f>
        <v>557894</v>
      </c>
      <c r="Q183" s="68">
        <v>2403</v>
      </c>
      <c r="R183" s="67">
        <f t="shared" si="386"/>
        <v>0.21871302448348048</v>
      </c>
      <c r="S183" s="40">
        <v>10987</v>
      </c>
      <c r="T183" s="3">
        <v>248</v>
      </c>
      <c r="U183" s="7">
        <f t="shared" si="387"/>
        <v>0.5890736342042755</v>
      </c>
      <c r="V183" s="44">
        <v>421</v>
      </c>
      <c r="W183" s="63">
        <f t="shared" si="388"/>
        <v>4899</v>
      </c>
      <c r="X183" s="7">
        <f t="shared" si="389"/>
        <v>8.6052745291602707E-3</v>
      </c>
      <c r="Y183" s="26">
        <f t="shared" si="390"/>
        <v>569302</v>
      </c>
      <c r="Z183" s="63">
        <v>2641</v>
      </c>
      <c r="AA183" s="13"/>
      <c r="AB183" s="13"/>
      <c r="AC183" s="42">
        <v>120</v>
      </c>
      <c r="AD183" s="13"/>
      <c r="AE183" s="43"/>
      <c r="AF183" s="13">
        <v>12</v>
      </c>
      <c r="AG183" s="13"/>
      <c r="AH183" s="44"/>
      <c r="AI183" s="41"/>
      <c r="AJ183" s="13"/>
      <c r="AK183" s="44"/>
      <c r="AL183" s="41"/>
      <c r="AM183" s="13"/>
      <c r="AN183" s="13"/>
      <c r="AO183" s="44"/>
      <c r="AP183" s="63">
        <v>8512</v>
      </c>
      <c r="AQ183" s="15"/>
      <c r="AR183" s="13"/>
      <c r="AS183" s="13"/>
      <c r="AT183" s="44"/>
      <c r="AU183" s="5"/>
      <c r="AV183" s="5"/>
      <c r="AW183" s="5"/>
      <c r="AX183" s="5"/>
    </row>
    <row r="184" spans="1:50" x14ac:dyDescent="0.15">
      <c r="A184" s="147">
        <v>38169</v>
      </c>
      <c r="B184" s="3">
        <v>469</v>
      </c>
      <c r="C184" s="13"/>
      <c r="D184" s="13"/>
      <c r="E184" s="57">
        <v>299</v>
      </c>
      <c r="F184" s="13"/>
      <c r="G184" s="43"/>
      <c r="H184" s="13">
        <v>20</v>
      </c>
      <c r="I184" s="13"/>
      <c r="J184" s="13"/>
      <c r="K184" s="41"/>
      <c r="L184" s="13"/>
      <c r="M184" s="44"/>
      <c r="N184" s="63">
        <v>2226</v>
      </c>
      <c r="O184" s="67">
        <f t="shared" si="385"/>
        <v>3.9956274265897694E-3</v>
      </c>
      <c r="P184" s="3">
        <f>508396+48280+433</f>
        <v>557109</v>
      </c>
      <c r="Q184" s="68">
        <v>2419</v>
      </c>
      <c r="R184" s="67">
        <f t="shared" si="386"/>
        <v>0.22063115651222182</v>
      </c>
      <c r="S184" s="40">
        <v>10964</v>
      </c>
      <c r="T184" s="3">
        <v>248</v>
      </c>
      <c r="U184" s="7">
        <f t="shared" si="387"/>
        <v>0.59047619047619049</v>
      </c>
      <c r="V184" s="44">
        <v>420</v>
      </c>
      <c r="W184" s="63">
        <f t="shared" si="388"/>
        <v>4893</v>
      </c>
      <c r="X184" s="7">
        <f t="shared" si="389"/>
        <v>8.6069661367862045E-3</v>
      </c>
      <c r="Y184" s="26">
        <f t="shared" si="390"/>
        <v>568493</v>
      </c>
      <c r="Z184" s="63">
        <v>2642</v>
      </c>
      <c r="AA184" s="13"/>
      <c r="AB184" s="13"/>
      <c r="AC184" s="42">
        <v>121</v>
      </c>
      <c r="AD184" s="13"/>
      <c r="AE184" s="43"/>
      <c r="AF184" s="13">
        <v>12</v>
      </c>
      <c r="AG184" s="13"/>
      <c r="AH184" s="44"/>
      <c r="AI184" s="41"/>
      <c r="AJ184" s="13"/>
      <c r="AK184" s="44"/>
      <c r="AL184" s="41"/>
      <c r="AM184" s="13"/>
      <c r="AN184" s="13"/>
      <c r="AO184" s="44"/>
      <c r="AP184" s="63">
        <v>8463</v>
      </c>
      <c r="AQ184" s="15"/>
      <c r="AR184" s="13"/>
      <c r="AS184" s="13"/>
      <c r="AT184" s="44"/>
      <c r="AU184" s="5"/>
      <c r="AV184" s="5"/>
      <c r="AW184" s="5"/>
      <c r="AX184" s="5"/>
    </row>
    <row r="185" spans="1:50" x14ac:dyDescent="0.15">
      <c r="A185" s="147">
        <v>38139</v>
      </c>
      <c r="B185" s="3">
        <v>460</v>
      </c>
      <c r="C185" s="13"/>
      <c r="D185" s="13"/>
      <c r="E185" s="57">
        <v>305</v>
      </c>
      <c r="F185" s="13"/>
      <c r="G185" s="43"/>
      <c r="H185" s="13">
        <v>17</v>
      </c>
      <c r="I185" s="13"/>
      <c r="J185" s="13"/>
      <c r="K185" s="41"/>
      <c r="L185" s="13"/>
      <c r="M185" s="44"/>
      <c r="N185" s="63">
        <v>2193</v>
      </c>
      <c r="O185" s="67">
        <f t="shared" si="385"/>
        <v>3.9406512406852025E-3</v>
      </c>
      <c r="P185" s="3">
        <f>507759+48315+433</f>
        <v>556507</v>
      </c>
      <c r="Q185" s="68">
        <v>2520</v>
      </c>
      <c r="R185" s="67">
        <f t="shared" si="386"/>
        <v>0.23123508900715728</v>
      </c>
      <c r="S185" s="40">
        <v>10898</v>
      </c>
      <c r="T185" s="3">
        <v>248</v>
      </c>
      <c r="U185" s="7">
        <f t="shared" si="387"/>
        <v>0.59330143540669855</v>
      </c>
      <c r="V185" s="44">
        <v>418</v>
      </c>
      <c r="W185" s="63">
        <f t="shared" si="388"/>
        <v>4961</v>
      </c>
      <c r="X185" s="7">
        <f t="shared" si="389"/>
        <v>8.7368775128869383E-3</v>
      </c>
      <c r="Y185" s="26">
        <f t="shared" si="390"/>
        <v>567823</v>
      </c>
      <c r="Z185" s="63">
        <v>2646</v>
      </c>
      <c r="AA185" s="13"/>
      <c r="AB185" s="13"/>
      <c r="AC185" s="42">
        <v>120</v>
      </c>
      <c r="AD185" s="13"/>
      <c r="AE185" s="43"/>
      <c r="AF185" s="13">
        <v>12</v>
      </c>
      <c r="AG185" s="13"/>
      <c r="AH185" s="44"/>
      <c r="AI185" s="41"/>
      <c r="AJ185" s="13"/>
      <c r="AK185" s="44"/>
      <c r="AL185" s="41"/>
      <c r="AM185" s="13"/>
      <c r="AN185" s="13"/>
      <c r="AO185" s="44"/>
      <c r="AP185" s="63">
        <v>8456</v>
      </c>
      <c r="AQ185" s="15"/>
      <c r="AR185" s="13"/>
      <c r="AS185" s="13"/>
      <c r="AT185" s="44"/>
      <c r="AU185" s="5"/>
      <c r="AV185" s="5"/>
      <c r="AW185" s="5"/>
      <c r="AX185" s="5"/>
    </row>
    <row r="186" spans="1:50" x14ac:dyDescent="0.15">
      <c r="A186" s="147">
        <v>38108</v>
      </c>
      <c r="B186" s="3">
        <v>434</v>
      </c>
      <c r="C186" s="13"/>
      <c r="D186" s="13"/>
      <c r="E186" s="57">
        <v>304</v>
      </c>
      <c r="F186" s="13"/>
      <c r="G186" s="43"/>
      <c r="H186" s="13">
        <v>16</v>
      </c>
      <c r="I186" s="13"/>
      <c r="J186" s="13"/>
      <c r="K186" s="41"/>
      <c r="L186" s="13"/>
      <c r="M186" s="44"/>
      <c r="N186" s="63">
        <v>2124</v>
      </c>
      <c r="O186" s="67">
        <f t="shared" si="385"/>
        <v>3.8167938931297708E-3</v>
      </c>
      <c r="P186" s="3">
        <f>507833+48222+433</f>
        <v>556488</v>
      </c>
      <c r="Q186" s="68">
        <v>2542</v>
      </c>
      <c r="R186" s="67">
        <f t="shared" si="386"/>
        <v>0.23269864518491395</v>
      </c>
      <c r="S186" s="40">
        <v>10924</v>
      </c>
      <c r="T186" s="3">
        <v>248</v>
      </c>
      <c r="U186" s="7">
        <f t="shared" si="387"/>
        <v>0.59188544152744627</v>
      </c>
      <c r="V186" s="44">
        <v>419</v>
      </c>
      <c r="W186" s="63">
        <f t="shared" si="388"/>
        <v>4914</v>
      </c>
      <c r="X186" s="7">
        <f t="shared" si="389"/>
        <v>8.6539833154582971E-3</v>
      </c>
      <c r="Y186" s="26">
        <f t="shared" si="390"/>
        <v>567831</v>
      </c>
      <c r="Z186" s="63">
        <v>2641</v>
      </c>
      <c r="AA186" s="13"/>
      <c r="AB186" s="13"/>
      <c r="AC186" s="42">
        <v>120</v>
      </c>
      <c r="AD186" s="13"/>
      <c r="AE186" s="43"/>
      <c r="AF186" s="13">
        <v>12</v>
      </c>
      <c r="AG186" s="13"/>
      <c r="AH186" s="44"/>
      <c r="AI186" s="41"/>
      <c r="AJ186" s="13"/>
      <c r="AK186" s="44"/>
      <c r="AL186" s="41"/>
      <c r="AM186" s="13"/>
      <c r="AN186" s="13"/>
      <c r="AO186" s="44"/>
      <c r="AP186" s="63">
        <v>8521</v>
      </c>
      <c r="AQ186" s="15"/>
      <c r="AR186" s="13"/>
      <c r="AS186" s="13"/>
      <c r="AT186" s="44"/>
      <c r="AU186" s="5"/>
      <c r="AV186" s="5"/>
      <c r="AW186" s="5"/>
      <c r="AX186" s="5"/>
    </row>
    <row r="187" spans="1:50" x14ac:dyDescent="0.15">
      <c r="A187" s="147">
        <v>38078</v>
      </c>
      <c r="B187" s="3">
        <v>422</v>
      </c>
      <c r="C187" s="13"/>
      <c r="D187" s="13"/>
      <c r="E187" s="57">
        <v>294</v>
      </c>
      <c r="F187" s="13"/>
      <c r="G187" s="43"/>
      <c r="H187" s="13">
        <v>16</v>
      </c>
      <c r="I187" s="13"/>
      <c r="J187" s="13"/>
      <c r="K187" s="41"/>
      <c r="L187" s="13"/>
      <c r="M187" s="44"/>
      <c r="N187" s="63">
        <v>2074</v>
      </c>
      <c r="O187" s="67">
        <f t="shared" si="385"/>
        <v>3.7300481093476014E-3</v>
      </c>
      <c r="P187" s="3">
        <f>507437+48156+432</f>
        <v>556025</v>
      </c>
      <c r="Q187" s="68">
        <v>2554</v>
      </c>
      <c r="R187" s="67">
        <f t="shared" si="386"/>
        <v>0.2343979441997063</v>
      </c>
      <c r="S187" s="40">
        <v>10896</v>
      </c>
      <c r="T187" s="3">
        <v>249</v>
      </c>
      <c r="U187" s="7">
        <f t="shared" si="387"/>
        <v>0.59285714285714286</v>
      </c>
      <c r="V187" s="44">
        <v>420</v>
      </c>
      <c r="W187" s="63">
        <f t="shared" si="388"/>
        <v>4877</v>
      </c>
      <c r="X187" s="7">
        <f t="shared" si="389"/>
        <v>8.5962410613722607E-3</v>
      </c>
      <c r="Y187" s="26">
        <f t="shared" si="390"/>
        <v>567341</v>
      </c>
      <c r="Z187" s="63">
        <v>2758</v>
      </c>
      <c r="AA187" s="13"/>
      <c r="AB187" s="13"/>
      <c r="AC187" s="42">
        <v>123</v>
      </c>
      <c r="AD187" s="13"/>
      <c r="AE187" s="43"/>
      <c r="AF187" s="13">
        <v>12</v>
      </c>
      <c r="AG187" s="13"/>
      <c r="AH187" s="44"/>
      <c r="AI187" s="41"/>
      <c r="AJ187" s="13"/>
      <c r="AK187" s="44"/>
      <c r="AL187" s="41"/>
      <c r="AM187" s="13"/>
      <c r="AN187" s="13"/>
      <c r="AO187" s="44"/>
      <c r="AP187" s="63">
        <v>8441</v>
      </c>
      <c r="AQ187" s="15"/>
      <c r="AR187" s="13"/>
      <c r="AS187" s="13"/>
      <c r="AT187" s="44"/>
      <c r="AU187" s="5"/>
      <c r="AV187" s="5"/>
      <c r="AW187" s="5"/>
      <c r="AX187" s="5"/>
    </row>
    <row r="188" spans="1:50" x14ac:dyDescent="0.15">
      <c r="A188" s="147">
        <v>38047</v>
      </c>
      <c r="B188" s="3">
        <v>415</v>
      </c>
      <c r="C188" s="13"/>
      <c r="D188" s="13"/>
      <c r="E188" s="57">
        <v>291</v>
      </c>
      <c r="F188" s="13"/>
      <c r="G188" s="43"/>
      <c r="H188" s="13">
        <v>16</v>
      </c>
      <c r="I188" s="13"/>
      <c r="J188" s="13"/>
      <c r="K188" s="41"/>
      <c r="L188" s="13"/>
      <c r="M188" s="44"/>
      <c r="N188" s="63">
        <v>2033</v>
      </c>
      <c r="O188" s="67">
        <f t="shared" si="385"/>
        <v>3.6596605678324299E-3</v>
      </c>
      <c r="P188" s="3">
        <f>506962+48122+432</f>
        <v>555516</v>
      </c>
      <c r="Q188" s="68">
        <v>2528</v>
      </c>
      <c r="R188" s="67">
        <f t="shared" si="386"/>
        <v>0.23248114769174177</v>
      </c>
      <c r="S188" s="40">
        <v>10874</v>
      </c>
      <c r="T188" s="3">
        <v>250</v>
      </c>
      <c r="U188" s="7">
        <f t="shared" si="387"/>
        <v>0.58275058275058278</v>
      </c>
      <c r="V188" s="44">
        <v>429</v>
      </c>
      <c r="W188" s="63">
        <f t="shared" si="388"/>
        <v>4811</v>
      </c>
      <c r="X188" s="7">
        <f t="shared" si="389"/>
        <v>8.4877183016095082E-3</v>
      </c>
      <c r="Y188" s="26">
        <f t="shared" si="390"/>
        <v>566819</v>
      </c>
      <c r="Z188" s="63">
        <v>2503</v>
      </c>
      <c r="AA188" s="13"/>
      <c r="AB188" s="13"/>
      <c r="AC188" s="42">
        <v>123</v>
      </c>
      <c r="AD188" s="13"/>
      <c r="AE188" s="43"/>
      <c r="AF188" s="13">
        <v>12</v>
      </c>
      <c r="AG188" s="13"/>
      <c r="AH188" s="44"/>
      <c r="AI188" s="41"/>
      <c r="AJ188" s="13"/>
      <c r="AK188" s="44"/>
      <c r="AL188" s="41"/>
      <c r="AM188" s="13"/>
      <c r="AN188" s="13"/>
      <c r="AO188" s="44"/>
      <c r="AP188" s="63">
        <v>8502</v>
      </c>
      <c r="AQ188" s="15"/>
      <c r="AR188" s="13"/>
      <c r="AS188" s="13"/>
      <c r="AT188" s="44"/>
      <c r="AU188" s="5"/>
      <c r="AV188" s="5"/>
      <c r="AW188" s="5"/>
      <c r="AX188" s="5"/>
    </row>
    <row r="189" spans="1:50" x14ac:dyDescent="0.15">
      <c r="A189" s="147">
        <v>38018</v>
      </c>
      <c r="B189" s="3">
        <v>406</v>
      </c>
      <c r="C189" s="13"/>
      <c r="D189" s="13"/>
      <c r="E189" s="57">
        <v>291</v>
      </c>
      <c r="F189" s="13"/>
      <c r="G189" s="43"/>
      <c r="H189" s="13">
        <v>17</v>
      </c>
      <c r="I189" s="13"/>
      <c r="J189" s="13"/>
      <c r="K189" s="41"/>
      <c r="L189" s="13"/>
      <c r="M189" s="44"/>
      <c r="N189" s="63">
        <v>1980</v>
      </c>
      <c r="O189" s="67">
        <f t="shared" si="385"/>
        <v>3.5678504241777728E-3</v>
      </c>
      <c r="P189" s="3">
        <f>506349+48175+432</f>
        <v>554956</v>
      </c>
      <c r="Q189" s="68">
        <v>2546</v>
      </c>
      <c r="R189" s="67">
        <f t="shared" si="386"/>
        <v>0.23539201183431951</v>
      </c>
      <c r="S189" s="40">
        <v>10816</v>
      </c>
      <c r="T189" s="3">
        <v>251</v>
      </c>
      <c r="U189" s="7">
        <f t="shared" si="387"/>
        <v>0.58236658932714613</v>
      </c>
      <c r="V189" s="44">
        <v>431</v>
      </c>
      <c r="W189" s="63">
        <f t="shared" si="388"/>
        <v>4777</v>
      </c>
      <c r="X189" s="7">
        <f t="shared" si="389"/>
        <v>8.4369033721121232E-3</v>
      </c>
      <c r="Y189" s="26">
        <f t="shared" si="390"/>
        <v>566203</v>
      </c>
      <c r="Z189" s="63">
        <v>2691</v>
      </c>
      <c r="AA189" s="13"/>
      <c r="AB189" s="13"/>
      <c r="AC189" s="42">
        <v>162</v>
      </c>
      <c r="AD189" s="13"/>
      <c r="AE189" s="43"/>
      <c r="AF189" s="13">
        <v>14</v>
      </c>
      <c r="AG189" s="13"/>
      <c r="AH189" s="44"/>
      <c r="AI189" s="41"/>
      <c r="AJ189" s="13"/>
      <c r="AK189" s="44"/>
      <c r="AL189" s="41"/>
      <c r="AM189" s="13"/>
      <c r="AN189" s="13"/>
      <c r="AO189" s="44"/>
      <c r="AP189" s="63">
        <v>8171</v>
      </c>
      <c r="AQ189" s="15"/>
      <c r="AR189" s="13"/>
      <c r="AS189" s="13"/>
      <c r="AT189" s="44"/>
      <c r="AU189" s="5"/>
      <c r="AV189" s="5"/>
      <c r="AW189" s="5"/>
      <c r="AX189" s="5"/>
    </row>
    <row r="190" spans="1:50" x14ac:dyDescent="0.15">
      <c r="A190" s="147">
        <v>37987</v>
      </c>
      <c r="B190" s="3">
        <v>409</v>
      </c>
      <c r="C190" s="13"/>
      <c r="D190" s="13"/>
      <c r="E190" s="57">
        <v>302</v>
      </c>
      <c r="F190" s="13"/>
      <c r="G190" s="43"/>
      <c r="H190" s="13">
        <v>17</v>
      </c>
      <c r="I190" s="13"/>
      <c r="J190" s="13"/>
      <c r="K190" s="41"/>
      <c r="L190" s="13"/>
      <c r="M190" s="44"/>
      <c r="N190" s="63">
        <v>1941</v>
      </c>
      <c r="O190" s="67">
        <f t="shared" si="385"/>
        <v>3.5024658008845485E-3</v>
      </c>
      <c r="P190" s="3">
        <f>505597+48150+434</f>
        <v>554181</v>
      </c>
      <c r="Q190" s="68">
        <v>2641</v>
      </c>
      <c r="R190" s="67">
        <f t="shared" si="386"/>
        <v>0.24455968145198628</v>
      </c>
      <c r="S190" s="40">
        <v>10799</v>
      </c>
      <c r="T190" s="3">
        <v>253</v>
      </c>
      <c r="U190" s="7">
        <f t="shared" si="387"/>
        <v>0.58294930875576034</v>
      </c>
      <c r="V190" s="44">
        <v>434</v>
      </c>
      <c r="W190" s="63">
        <f t="shared" si="388"/>
        <v>4835</v>
      </c>
      <c r="X190" s="7">
        <f t="shared" si="389"/>
        <v>8.5512562476344773E-3</v>
      </c>
      <c r="Y190" s="26">
        <f t="shared" si="390"/>
        <v>565414</v>
      </c>
      <c r="Z190" s="63">
        <v>2875</v>
      </c>
      <c r="AA190" s="13"/>
      <c r="AB190" s="13"/>
      <c r="AC190" s="42">
        <v>162</v>
      </c>
      <c r="AD190" s="13"/>
      <c r="AE190" s="43"/>
      <c r="AF190" s="13">
        <v>14</v>
      </c>
      <c r="AG190" s="13"/>
      <c r="AH190" s="44"/>
      <c r="AI190" s="41"/>
      <c r="AJ190" s="13"/>
      <c r="AK190" s="44"/>
      <c r="AL190" s="41"/>
      <c r="AM190" s="13"/>
      <c r="AN190" s="13"/>
      <c r="AO190" s="44"/>
      <c r="AP190" s="63">
        <v>8358</v>
      </c>
      <c r="AQ190" s="15"/>
      <c r="AR190" s="13"/>
      <c r="AS190" s="13"/>
      <c r="AT190" s="44"/>
      <c r="AU190" s="5"/>
      <c r="AV190" s="5"/>
      <c r="AW190" s="5"/>
      <c r="AX190" s="5"/>
    </row>
    <row r="191" spans="1:50" x14ac:dyDescent="0.15">
      <c r="A191" s="147">
        <v>37956</v>
      </c>
      <c r="B191" s="3">
        <v>402</v>
      </c>
      <c r="C191" s="13"/>
      <c r="D191" s="13"/>
      <c r="E191" s="57">
        <v>310</v>
      </c>
      <c r="F191" s="13"/>
      <c r="G191" s="43"/>
      <c r="H191" s="13">
        <v>16</v>
      </c>
      <c r="I191" s="13"/>
      <c r="J191" s="13"/>
      <c r="K191" s="41"/>
      <c r="L191" s="13"/>
      <c r="M191" s="44"/>
      <c r="N191" s="63">
        <v>1895</v>
      </c>
      <c r="O191" s="67">
        <f t="shared" si="385"/>
        <v>3.4277610660608244E-3</v>
      </c>
      <c r="P191" s="3">
        <f>504333+48076+430</f>
        <v>552839</v>
      </c>
      <c r="Q191" s="68">
        <v>2433</v>
      </c>
      <c r="R191" s="67">
        <f t="shared" si="386"/>
        <v>0.22496532593619972</v>
      </c>
      <c r="S191" s="40">
        <v>10815</v>
      </c>
      <c r="T191" s="3">
        <v>246</v>
      </c>
      <c r="U191" s="7">
        <f t="shared" si="387"/>
        <v>0.57076566125290018</v>
      </c>
      <c r="V191" s="44">
        <v>431</v>
      </c>
      <c r="W191" s="63">
        <f t="shared" si="388"/>
        <v>4574</v>
      </c>
      <c r="X191" s="7">
        <f t="shared" si="389"/>
        <v>8.1087070211049751E-3</v>
      </c>
      <c r="Y191" s="26">
        <f t="shared" si="390"/>
        <v>564085</v>
      </c>
      <c r="Z191" s="63">
        <v>2882</v>
      </c>
      <c r="AA191" s="13"/>
      <c r="AB191" s="13"/>
      <c r="AC191" s="42">
        <v>166</v>
      </c>
      <c r="AD191" s="13"/>
      <c r="AE191" s="43"/>
      <c r="AF191" s="13">
        <v>14</v>
      </c>
      <c r="AG191" s="13"/>
      <c r="AH191" s="44"/>
      <c r="AI191" s="41"/>
      <c r="AJ191" s="13"/>
      <c r="AK191" s="44"/>
      <c r="AL191" s="41"/>
      <c r="AM191" s="13"/>
      <c r="AN191" s="13"/>
      <c r="AO191" s="44"/>
      <c r="AP191" s="63">
        <v>8614</v>
      </c>
      <c r="AQ191" s="15"/>
      <c r="AR191" s="13"/>
      <c r="AS191" s="13"/>
      <c r="AT191" s="44"/>
      <c r="AU191" s="5"/>
      <c r="AV191" s="5"/>
      <c r="AW191" s="5"/>
      <c r="AX191" s="5"/>
    </row>
    <row r="192" spans="1:50" x14ac:dyDescent="0.15">
      <c r="A192" s="147">
        <v>37926</v>
      </c>
      <c r="B192" s="3">
        <v>397</v>
      </c>
      <c r="C192" s="13"/>
      <c r="D192" s="13"/>
      <c r="E192" s="57">
        <v>305</v>
      </c>
      <c r="F192" s="13"/>
      <c r="G192" s="43"/>
      <c r="H192" s="13">
        <v>15</v>
      </c>
      <c r="I192" s="13"/>
      <c r="J192" s="13"/>
      <c r="K192" s="41"/>
      <c r="L192" s="13"/>
      <c r="M192" s="44"/>
      <c r="N192" s="63">
        <v>1861</v>
      </c>
      <c r="O192" s="67">
        <f t="shared" si="385"/>
        <v>3.3716272404290897E-3</v>
      </c>
      <c r="P192" s="3">
        <f>503472+48057+430</f>
        <v>551959</v>
      </c>
      <c r="Q192" s="68">
        <v>2400</v>
      </c>
      <c r="R192" s="67">
        <f t="shared" si="386"/>
        <v>0.22183196228856641</v>
      </c>
      <c r="S192" s="40">
        <v>10819</v>
      </c>
      <c r="T192" s="3">
        <v>241</v>
      </c>
      <c r="U192" s="7">
        <f t="shared" si="387"/>
        <v>0.5565819861431871</v>
      </c>
      <c r="V192" s="44">
        <v>433</v>
      </c>
      <c r="W192" s="63">
        <f t="shared" si="388"/>
        <v>4502</v>
      </c>
      <c r="X192" s="7">
        <f t="shared" si="389"/>
        <v>7.9934518324393522E-3</v>
      </c>
      <c r="Y192" s="26">
        <f t="shared" si="390"/>
        <v>563211</v>
      </c>
      <c r="Z192" s="63">
        <v>2888</v>
      </c>
      <c r="AA192" s="13"/>
      <c r="AB192" s="13"/>
      <c r="AC192" s="42">
        <v>166</v>
      </c>
      <c r="AD192" s="13"/>
      <c r="AE192" s="43"/>
      <c r="AF192" s="13">
        <v>14</v>
      </c>
      <c r="AG192" s="13"/>
      <c r="AH192" s="44"/>
      <c r="AI192" s="41"/>
      <c r="AJ192" s="13"/>
      <c r="AK192" s="44"/>
      <c r="AL192" s="41"/>
      <c r="AM192" s="13"/>
      <c r="AN192" s="13"/>
      <c r="AO192" s="44"/>
      <c r="AP192" s="63">
        <v>8364</v>
      </c>
      <c r="AQ192" s="15"/>
      <c r="AR192" s="13"/>
      <c r="AS192" s="13"/>
      <c r="AT192" s="44"/>
      <c r="AU192" s="5"/>
      <c r="AV192" s="5"/>
      <c r="AW192" s="5"/>
      <c r="AX192" s="5"/>
    </row>
    <row r="193" spans="1:50" x14ac:dyDescent="0.15">
      <c r="A193" s="147">
        <v>37895</v>
      </c>
      <c r="B193" s="3">
        <v>387</v>
      </c>
      <c r="C193" s="13"/>
      <c r="D193" s="13"/>
      <c r="E193" s="57">
        <v>293</v>
      </c>
      <c r="F193" s="13"/>
      <c r="G193" s="43"/>
      <c r="H193" s="13">
        <v>12</v>
      </c>
      <c r="I193" s="13"/>
      <c r="J193" s="13"/>
      <c r="K193" s="41"/>
      <c r="L193" s="13"/>
      <c r="M193" s="44"/>
      <c r="N193" s="63">
        <v>1786</v>
      </c>
      <c r="O193" s="67">
        <f t="shared" si="385"/>
        <v>3.2429919778619496E-3</v>
      </c>
      <c r="P193" s="3">
        <f>502474+47822+430</f>
        <v>550726</v>
      </c>
      <c r="Q193" s="68">
        <v>2290</v>
      </c>
      <c r="R193" s="67">
        <f t="shared" si="386"/>
        <v>0.20842814235005006</v>
      </c>
      <c r="S193" s="40">
        <v>10987</v>
      </c>
      <c r="T193" s="3">
        <v>232</v>
      </c>
      <c r="U193" s="7">
        <f t="shared" si="387"/>
        <v>0.53333333333333333</v>
      </c>
      <c r="V193" s="44">
        <v>435</v>
      </c>
      <c r="W193" s="63">
        <f t="shared" si="388"/>
        <v>4308</v>
      </c>
      <c r="X193" s="7">
        <f t="shared" si="389"/>
        <v>7.6634622910692557E-3</v>
      </c>
      <c r="Y193" s="26">
        <f t="shared" si="390"/>
        <v>562148</v>
      </c>
      <c r="Z193" s="63">
        <v>2901</v>
      </c>
      <c r="AA193" s="13"/>
      <c r="AB193" s="13"/>
      <c r="AC193" s="42">
        <v>167</v>
      </c>
      <c r="AD193" s="13"/>
      <c r="AE193" s="43"/>
      <c r="AF193" s="13">
        <v>14</v>
      </c>
      <c r="AG193" s="13"/>
      <c r="AH193" s="44"/>
      <c r="AI193" s="41"/>
      <c r="AJ193" s="13"/>
      <c r="AK193" s="44"/>
      <c r="AL193" s="41"/>
      <c r="AM193" s="13"/>
      <c r="AN193" s="13"/>
      <c r="AO193" s="44"/>
      <c r="AP193" s="63">
        <v>8287</v>
      </c>
      <c r="AQ193" s="15"/>
      <c r="AR193" s="13"/>
      <c r="AS193" s="13"/>
      <c r="AT193" s="44"/>
      <c r="AU193" s="5"/>
      <c r="AV193" s="5"/>
      <c r="AW193" s="5"/>
      <c r="AX193" s="5"/>
    </row>
    <row r="194" spans="1:50" x14ac:dyDescent="0.15">
      <c r="A194" s="147">
        <v>37865</v>
      </c>
      <c r="B194" s="3">
        <v>379</v>
      </c>
      <c r="C194" s="13"/>
      <c r="D194" s="13"/>
      <c r="E194" s="57">
        <v>295</v>
      </c>
      <c r="F194" s="13"/>
      <c r="G194" s="43"/>
      <c r="H194" s="13">
        <v>9</v>
      </c>
      <c r="I194" s="13"/>
      <c r="J194" s="13"/>
      <c r="K194" s="41"/>
      <c r="L194" s="13"/>
      <c r="M194" s="44"/>
      <c r="N194" s="63">
        <v>1732</v>
      </c>
      <c r="O194" s="67">
        <f t="shared" ref="O194:O225" si="397">N194/P194</f>
        <v>3.1482838036067115E-3</v>
      </c>
      <c r="P194" s="3">
        <f>501825+47886+430</f>
        <v>550141</v>
      </c>
      <c r="Q194" s="68">
        <v>1852</v>
      </c>
      <c r="R194" s="67">
        <f t="shared" ref="R194:R225" si="398">Q194/S194</f>
        <v>0.16970585540181435</v>
      </c>
      <c r="S194" s="40">
        <v>10913</v>
      </c>
      <c r="T194" s="3">
        <v>200</v>
      </c>
      <c r="U194" s="7">
        <f t="shared" ref="U194:U225" si="399">T194/V194</f>
        <v>0.45977011494252873</v>
      </c>
      <c r="V194" s="44">
        <v>435</v>
      </c>
      <c r="W194" s="63">
        <f t="shared" ref="W194:W225" si="400">+T194+Q194+N194</f>
        <v>3784</v>
      </c>
      <c r="X194" s="7">
        <f t="shared" ref="X194:X225" si="401">W194/Y194</f>
        <v>6.7392237425844496E-3</v>
      </c>
      <c r="Y194" s="26">
        <f t="shared" ref="Y194:Y225" si="402">+V194+S194+P194</f>
        <v>561489</v>
      </c>
      <c r="Z194" s="63">
        <v>2905</v>
      </c>
      <c r="AA194" s="13"/>
      <c r="AB194" s="13"/>
      <c r="AC194" s="42">
        <v>166</v>
      </c>
      <c r="AD194" s="13"/>
      <c r="AE194" s="43"/>
      <c r="AF194" s="13">
        <v>14</v>
      </c>
      <c r="AG194" s="13"/>
      <c r="AH194" s="44"/>
      <c r="AI194" s="41"/>
      <c r="AJ194" s="13"/>
      <c r="AK194" s="44"/>
      <c r="AL194" s="41"/>
      <c r="AM194" s="13"/>
      <c r="AN194" s="13"/>
      <c r="AO194" s="44"/>
      <c r="AP194" s="63">
        <v>8082</v>
      </c>
      <c r="AQ194" s="15"/>
      <c r="AR194" s="13"/>
      <c r="AS194" s="13"/>
      <c r="AT194" s="44"/>
      <c r="AU194" s="5"/>
      <c r="AV194" s="5"/>
      <c r="AW194" s="5"/>
      <c r="AX194" s="5"/>
    </row>
    <row r="195" spans="1:50" x14ac:dyDescent="0.15">
      <c r="A195" s="147">
        <v>37834</v>
      </c>
      <c r="B195" s="3">
        <v>372</v>
      </c>
      <c r="C195" s="13"/>
      <c r="D195" s="13"/>
      <c r="E195" s="57">
        <v>294</v>
      </c>
      <c r="F195" s="13"/>
      <c r="G195" s="43"/>
      <c r="H195" s="13">
        <v>9</v>
      </c>
      <c r="I195" s="13"/>
      <c r="J195" s="13"/>
      <c r="K195" s="41"/>
      <c r="L195" s="13"/>
      <c r="M195" s="44"/>
      <c r="N195" s="63">
        <v>1661</v>
      </c>
      <c r="O195" s="67">
        <f t="shared" si="397"/>
        <v>3.0242008899635129E-3</v>
      </c>
      <c r="P195" s="3">
        <f>500974+47832+430</f>
        <v>549236</v>
      </c>
      <c r="Q195" s="68">
        <v>1835</v>
      </c>
      <c r="R195" s="67">
        <f t="shared" si="398"/>
        <v>0.16850321395775941</v>
      </c>
      <c r="S195" s="40">
        <v>10890</v>
      </c>
      <c r="T195" s="3">
        <v>199</v>
      </c>
      <c r="U195" s="7">
        <f t="shared" si="399"/>
        <v>0.45537757437070936</v>
      </c>
      <c r="V195" s="44">
        <v>437</v>
      </c>
      <c r="W195" s="63">
        <f t="shared" si="400"/>
        <v>3695</v>
      </c>
      <c r="X195" s="7">
        <f t="shared" si="401"/>
        <v>6.5915873862527497E-3</v>
      </c>
      <c r="Y195" s="26">
        <f t="shared" si="402"/>
        <v>560563</v>
      </c>
      <c r="Z195" s="63">
        <v>2902</v>
      </c>
      <c r="AA195" s="13"/>
      <c r="AB195" s="13"/>
      <c r="AC195" s="42">
        <v>167</v>
      </c>
      <c r="AD195" s="13"/>
      <c r="AE195" s="43"/>
      <c r="AF195" s="13">
        <v>14</v>
      </c>
      <c r="AG195" s="13"/>
      <c r="AH195" s="44"/>
      <c r="AI195" s="41"/>
      <c r="AJ195" s="13"/>
      <c r="AK195" s="44"/>
      <c r="AL195" s="41"/>
      <c r="AM195" s="13"/>
      <c r="AN195" s="13"/>
      <c r="AO195" s="44"/>
      <c r="AP195" s="63">
        <v>7379</v>
      </c>
      <c r="AQ195" s="15"/>
      <c r="AR195" s="13"/>
      <c r="AS195" s="13"/>
      <c r="AT195" s="44"/>
      <c r="AU195" s="5"/>
      <c r="AV195" s="5"/>
      <c r="AW195" s="5"/>
      <c r="AX195" s="5"/>
    </row>
    <row r="196" spans="1:50" x14ac:dyDescent="0.15">
      <c r="A196" s="147">
        <v>37803</v>
      </c>
      <c r="B196" s="3">
        <v>355</v>
      </c>
      <c r="C196" s="13"/>
      <c r="D196" s="13"/>
      <c r="E196" s="57">
        <v>287</v>
      </c>
      <c r="F196" s="13"/>
      <c r="G196" s="43"/>
      <c r="H196" s="13">
        <v>8</v>
      </c>
      <c r="I196" s="13"/>
      <c r="J196" s="13"/>
      <c r="K196" s="41"/>
      <c r="L196" s="13"/>
      <c r="M196" s="44"/>
      <c r="N196" s="63">
        <v>1587</v>
      </c>
      <c r="O196" s="67">
        <f t="shared" si="397"/>
        <v>2.8938572546102046E-3</v>
      </c>
      <c r="P196" s="3">
        <f>500217+47756+430</f>
        <v>548403</v>
      </c>
      <c r="Q196" s="68">
        <v>1831</v>
      </c>
      <c r="R196" s="67">
        <f t="shared" si="398"/>
        <v>0.1683059104697123</v>
      </c>
      <c r="S196" s="40">
        <v>10879</v>
      </c>
      <c r="T196" s="3">
        <v>193</v>
      </c>
      <c r="U196" s="7">
        <f t="shared" si="399"/>
        <v>0.4447004608294931</v>
      </c>
      <c r="V196" s="44">
        <v>434</v>
      </c>
      <c r="W196" s="63">
        <f t="shared" si="400"/>
        <v>3611</v>
      </c>
      <c r="X196" s="7">
        <f t="shared" si="401"/>
        <v>6.4514861108133413E-3</v>
      </c>
      <c r="Y196" s="26">
        <f t="shared" si="402"/>
        <v>559716</v>
      </c>
      <c r="Z196" s="63">
        <v>5603</v>
      </c>
      <c r="AA196" s="13"/>
      <c r="AB196" s="13"/>
      <c r="AC196" s="42">
        <v>163</v>
      </c>
      <c r="AD196" s="13"/>
      <c r="AE196" s="43"/>
      <c r="AF196" s="13">
        <v>15</v>
      </c>
      <c r="AG196" s="13"/>
      <c r="AH196" s="44"/>
      <c r="AI196" s="41"/>
      <c r="AJ196" s="13"/>
      <c r="AK196" s="44"/>
      <c r="AL196" s="41"/>
      <c r="AM196" s="13"/>
      <c r="AN196" s="13"/>
      <c r="AO196" s="44"/>
      <c r="AP196" s="63">
        <v>7453</v>
      </c>
      <c r="AQ196" s="15"/>
      <c r="AR196" s="13"/>
      <c r="AS196" s="13"/>
      <c r="AT196" s="44"/>
      <c r="AU196" s="5"/>
      <c r="AV196" s="5"/>
      <c r="AW196" s="5"/>
      <c r="AX196" s="5"/>
    </row>
    <row r="197" spans="1:50" x14ac:dyDescent="0.15">
      <c r="A197" s="147">
        <v>37773</v>
      </c>
      <c r="B197" s="3">
        <v>341</v>
      </c>
      <c r="C197" s="13"/>
      <c r="D197" s="13"/>
      <c r="E197" s="57">
        <v>284</v>
      </c>
      <c r="F197" s="13"/>
      <c r="G197" s="43"/>
      <c r="H197" s="13">
        <v>8</v>
      </c>
      <c r="I197" s="13"/>
      <c r="J197" s="13"/>
      <c r="K197" s="41"/>
      <c r="L197" s="13"/>
      <c r="M197" s="44"/>
      <c r="N197" s="63">
        <v>1506</v>
      </c>
      <c r="O197" s="67">
        <f t="shared" si="397"/>
        <v>2.7483657625893766E-3</v>
      </c>
      <c r="P197" s="3">
        <f>499852+47682+428</f>
        <v>547962</v>
      </c>
      <c r="Q197" s="68">
        <v>1838</v>
      </c>
      <c r="R197" s="67">
        <f t="shared" si="398"/>
        <v>0.16933849272157731</v>
      </c>
      <c r="S197" s="40">
        <v>10854</v>
      </c>
      <c r="T197" s="3">
        <v>183</v>
      </c>
      <c r="U197" s="7">
        <f t="shared" si="399"/>
        <v>0.42263279445727481</v>
      </c>
      <c r="V197" s="44">
        <v>433</v>
      </c>
      <c r="W197" s="63">
        <f t="shared" si="400"/>
        <v>3527</v>
      </c>
      <c r="X197" s="7">
        <f t="shared" si="401"/>
        <v>6.3066719833204891E-3</v>
      </c>
      <c r="Y197" s="26">
        <f t="shared" si="402"/>
        <v>559249</v>
      </c>
      <c r="Z197" s="63">
        <v>5662</v>
      </c>
      <c r="AA197" s="13"/>
      <c r="AB197" s="13"/>
      <c r="AC197" s="42">
        <v>172</v>
      </c>
      <c r="AD197" s="13"/>
      <c r="AE197" s="43"/>
      <c r="AF197" s="13">
        <v>15</v>
      </c>
      <c r="AG197" s="13"/>
      <c r="AH197" s="44"/>
      <c r="AI197" s="41"/>
      <c r="AJ197" s="13"/>
      <c r="AK197" s="44"/>
      <c r="AL197" s="41"/>
      <c r="AM197" s="13"/>
      <c r="AN197" s="13"/>
      <c r="AO197" s="44"/>
      <c r="AP197" s="63">
        <v>10042</v>
      </c>
      <c r="AQ197" s="15"/>
      <c r="AR197" s="13"/>
      <c r="AS197" s="13"/>
      <c r="AT197" s="44"/>
      <c r="AU197" s="5"/>
      <c r="AV197" s="5"/>
      <c r="AW197" s="5"/>
      <c r="AX197" s="5"/>
    </row>
    <row r="198" spans="1:50" x14ac:dyDescent="0.15">
      <c r="A198" s="147">
        <v>37742</v>
      </c>
      <c r="B198" s="3">
        <v>210</v>
      </c>
      <c r="C198" s="13"/>
      <c r="D198" s="13"/>
      <c r="E198" s="57">
        <v>290</v>
      </c>
      <c r="F198" s="13"/>
      <c r="G198" s="43"/>
      <c r="H198" s="13">
        <v>9</v>
      </c>
      <c r="I198" s="13"/>
      <c r="J198" s="13"/>
      <c r="K198" s="41"/>
      <c r="L198" s="13"/>
      <c r="M198" s="44"/>
      <c r="N198" s="63">
        <v>740</v>
      </c>
      <c r="O198" s="67">
        <f t="shared" si="397"/>
        <v>1.3511440903878878E-3</v>
      </c>
      <c r="P198" s="3">
        <f>499747+47508+429</f>
        <v>547684</v>
      </c>
      <c r="Q198" s="68">
        <v>1839</v>
      </c>
      <c r="R198" s="67">
        <f t="shared" si="398"/>
        <v>0.16933701657458564</v>
      </c>
      <c r="S198" s="40">
        <v>10860</v>
      </c>
      <c r="T198" s="3">
        <v>180</v>
      </c>
      <c r="U198" s="7">
        <f t="shared" si="399"/>
        <v>0.41860465116279072</v>
      </c>
      <c r="V198" s="44">
        <v>430</v>
      </c>
      <c r="W198" s="63">
        <f t="shared" si="400"/>
        <v>2759</v>
      </c>
      <c r="X198" s="7">
        <f t="shared" si="401"/>
        <v>4.9358288578717439E-3</v>
      </c>
      <c r="Y198" s="26">
        <f t="shared" si="402"/>
        <v>558974</v>
      </c>
      <c r="Z198" s="63">
        <v>5700</v>
      </c>
      <c r="AA198" s="13"/>
      <c r="AB198" s="13"/>
      <c r="AC198" s="42">
        <v>172</v>
      </c>
      <c r="AD198" s="13"/>
      <c r="AE198" s="43"/>
      <c r="AF198" s="13">
        <v>15</v>
      </c>
      <c r="AG198" s="13"/>
      <c r="AH198" s="44"/>
      <c r="AI198" s="41"/>
      <c r="AJ198" s="13"/>
      <c r="AK198" s="44"/>
      <c r="AL198" s="41"/>
      <c r="AM198" s="13"/>
      <c r="AN198" s="13"/>
      <c r="AO198" s="44"/>
      <c r="AP198" s="63">
        <v>10009</v>
      </c>
      <c r="AQ198" s="15"/>
      <c r="AR198" s="13"/>
      <c r="AS198" s="13"/>
      <c r="AT198" s="44"/>
      <c r="AU198" s="5"/>
      <c r="AV198" s="5"/>
      <c r="AW198" s="5"/>
      <c r="AX198" s="5"/>
    </row>
    <row r="199" spans="1:50" x14ac:dyDescent="0.15">
      <c r="A199" s="147">
        <v>37712</v>
      </c>
      <c r="B199" s="3">
        <v>183</v>
      </c>
      <c r="C199" s="13"/>
      <c r="D199" s="13"/>
      <c r="E199" s="57">
        <v>314</v>
      </c>
      <c r="F199" s="13"/>
      <c r="G199" s="43"/>
      <c r="H199" s="13">
        <v>8</v>
      </c>
      <c r="I199" s="13"/>
      <c r="J199" s="13"/>
      <c r="K199" s="41"/>
      <c r="L199" s="13"/>
      <c r="M199" s="44"/>
      <c r="N199" s="63">
        <v>523</v>
      </c>
      <c r="O199" s="67">
        <f t="shared" si="397"/>
        <v>9.5555482472968576E-4</v>
      </c>
      <c r="P199" s="3">
        <f>499430+47463+433</f>
        <v>547326</v>
      </c>
      <c r="Q199" s="68">
        <v>1915</v>
      </c>
      <c r="R199" s="67">
        <f t="shared" si="398"/>
        <v>0.17672572905131045</v>
      </c>
      <c r="S199" s="40">
        <v>10836</v>
      </c>
      <c r="T199" s="3">
        <v>175</v>
      </c>
      <c r="U199" s="7">
        <f t="shared" si="399"/>
        <v>0.4098360655737705</v>
      </c>
      <c r="V199" s="44">
        <v>427</v>
      </c>
      <c r="W199" s="63">
        <f t="shared" si="400"/>
        <v>2613</v>
      </c>
      <c r="X199" s="7">
        <f t="shared" si="401"/>
        <v>4.6778579599669884E-3</v>
      </c>
      <c r="Y199" s="26">
        <f t="shared" si="402"/>
        <v>558589</v>
      </c>
      <c r="Z199" s="63">
        <v>5722</v>
      </c>
      <c r="AA199" s="13"/>
      <c r="AB199" s="13"/>
      <c r="AC199" s="42">
        <v>172</v>
      </c>
      <c r="AD199" s="13"/>
      <c r="AE199" s="43"/>
      <c r="AF199" s="13">
        <v>15</v>
      </c>
      <c r="AG199" s="13"/>
      <c r="AH199" s="44"/>
      <c r="AI199" s="41"/>
      <c r="AJ199" s="13"/>
      <c r="AK199" s="44"/>
      <c r="AL199" s="41"/>
      <c r="AM199" s="13"/>
      <c r="AN199" s="13"/>
      <c r="AO199" s="44"/>
      <c r="AP199" s="63">
        <v>9155</v>
      </c>
      <c r="AQ199" s="15"/>
      <c r="AR199" s="13"/>
      <c r="AS199" s="13"/>
      <c r="AT199" s="44"/>
      <c r="AU199" s="5"/>
      <c r="AV199" s="5"/>
      <c r="AW199" s="5"/>
      <c r="AX199" s="5"/>
    </row>
    <row r="200" spans="1:50" x14ac:dyDescent="0.15">
      <c r="A200" s="147">
        <v>37681</v>
      </c>
      <c r="B200" s="3">
        <v>139</v>
      </c>
      <c r="C200" s="13"/>
      <c r="D200" s="13"/>
      <c r="E200" s="57">
        <v>315</v>
      </c>
      <c r="F200" s="13"/>
      <c r="G200" s="43"/>
      <c r="H200" s="13">
        <v>10</v>
      </c>
      <c r="I200" s="13"/>
      <c r="J200" s="13"/>
      <c r="K200" s="41"/>
      <c r="L200" s="13"/>
      <c r="M200" s="44"/>
      <c r="N200" s="63">
        <v>281</v>
      </c>
      <c r="O200" s="67">
        <f t="shared" si="397"/>
        <v>5.1366044302756221E-4</v>
      </c>
      <c r="P200" s="3">
        <f>499143+47478+433</f>
        <v>547054</v>
      </c>
      <c r="Q200" s="68">
        <v>1950</v>
      </c>
      <c r="R200" s="67">
        <f t="shared" si="398"/>
        <v>0.18038852913968548</v>
      </c>
      <c r="S200" s="40">
        <v>10810</v>
      </c>
      <c r="T200" s="3">
        <v>175</v>
      </c>
      <c r="U200" s="7">
        <f t="shared" si="399"/>
        <v>0.40887850467289721</v>
      </c>
      <c r="V200" s="44">
        <v>428</v>
      </c>
      <c r="W200" s="63">
        <f t="shared" si="400"/>
        <v>2406</v>
      </c>
      <c r="X200" s="7">
        <f t="shared" si="401"/>
        <v>4.3095727683721066E-3</v>
      </c>
      <c r="Y200" s="26">
        <f t="shared" si="402"/>
        <v>558292</v>
      </c>
      <c r="Z200" s="63">
        <v>5724</v>
      </c>
      <c r="AA200" s="13"/>
      <c r="AB200" s="13"/>
      <c r="AC200" s="42">
        <v>168</v>
      </c>
      <c r="AD200" s="13"/>
      <c r="AE200" s="43"/>
      <c r="AF200" s="13">
        <v>15</v>
      </c>
      <c r="AG200" s="13"/>
      <c r="AH200" s="44"/>
      <c r="AI200" s="41"/>
      <c r="AJ200" s="13"/>
      <c r="AK200" s="44"/>
      <c r="AL200" s="41"/>
      <c r="AM200" s="13"/>
      <c r="AN200" s="13"/>
      <c r="AO200" s="44"/>
      <c r="AP200" s="63">
        <v>9027</v>
      </c>
      <c r="AQ200" s="15"/>
      <c r="AR200" s="13"/>
      <c r="AS200" s="13"/>
      <c r="AT200" s="44"/>
      <c r="AU200" s="5"/>
      <c r="AV200" s="5"/>
      <c r="AW200" s="5"/>
      <c r="AX200" s="5"/>
    </row>
    <row r="201" spans="1:50" x14ac:dyDescent="0.15">
      <c r="A201" s="147">
        <v>37653</v>
      </c>
      <c r="B201" s="3"/>
      <c r="C201" s="13"/>
      <c r="D201" s="13"/>
      <c r="E201" s="57"/>
      <c r="F201" s="13"/>
      <c r="G201" s="43"/>
      <c r="H201" s="13"/>
      <c r="I201" s="13"/>
      <c r="J201" s="13"/>
      <c r="K201" s="41"/>
      <c r="L201" s="13"/>
      <c r="M201" s="44"/>
      <c r="N201" s="63">
        <v>114</v>
      </c>
      <c r="O201" s="67">
        <f t="shared" si="397"/>
        <v>2.0850403839400679E-4</v>
      </c>
      <c r="P201" s="3">
        <f>498842+47475+435</f>
        <v>546752</v>
      </c>
      <c r="Q201" s="68">
        <v>1985</v>
      </c>
      <c r="R201" s="67">
        <f t="shared" si="398"/>
        <v>0.18379629629629629</v>
      </c>
      <c r="S201" s="40">
        <v>10800</v>
      </c>
      <c r="T201" s="3">
        <v>176</v>
      </c>
      <c r="U201" s="7">
        <f t="shared" si="399"/>
        <v>0.41805225653206651</v>
      </c>
      <c r="V201" s="44">
        <v>421</v>
      </c>
      <c r="W201" s="63">
        <f t="shared" si="400"/>
        <v>2275</v>
      </c>
      <c r="X201" s="7">
        <f t="shared" si="401"/>
        <v>4.0772582185876378E-3</v>
      </c>
      <c r="Y201" s="26">
        <f t="shared" si="402"/>
        <v>557973</v>
      </c>
      <c r="Z201" s="63"/>
      <c r="AA201" s="13"/>
      <c r="AB201" s="13"/>
      <c r="AC201" s="42"/>
      <c r="AD201" s="13"/>
      <c r="AE201" s="43"/>
      <c r="AF201" s="13"/>
      <c r="AG201" s="13"/>
      <c r="AH201" s="44"/>
      <c r="AI201" s="41"/>
      <c r="AJ201" s="13"/>
      <c r="AK201" s="44"/>
      <c r="AL201" s="41"/>
      <c r="AM201" s="13"/>
      <c r="AN201" s="13"/>
      <c r="AO201" s="44"/>
      <c r="AP201" s="63">
        <v>8777</v>
      </c>
      <c r="AQ201" s="15"/>
      <c r="AR201" s="13"/>
      <c r="AS201" s="13"/>
      <c r="AT201" s="44"/>
      <c r="AU201" s="5"/>
      <c r="AV201" s="5"/>
      <c r="AW201" s="5"/>
      <c r="AX201" s="5"/>
    </row>
    <row r="202" spans="1:50" x14ac:dyDescent="0.15">
      <c r="A202" s="147">
        <v>37622</v>
      </c>
      <c r="B202" s="3">
        <v>148</v>
      </c>
      <c r="C202" s="13"/>
      <c r="D202" s="13"/>
      <c r="E202" s="57">
        <v>332</v>
      </c>
      <c r="F202" s="13"/>
      <c r="G202" s="43"/>
      <c r="H202" s="13">
        <v>11</v>
      </c>
      <c r="I202" s="13"/>
      <c r="J202" s="13"/>
      <c r="K202" s="41"/>
      <c r="L202" s="13"/>
      <c r="M202" s="44"/>
      <c r="N202" s="63">
        <v>113</v>
      </c>
      <c r="O202" s="67">
        <f t="shared" si="397"/>
        <v>2.0694606216439942E-4</v>
      </c>
      <c r="P202" s="3">
        <f>498133+47467+436</f>
        <v>546036</v>
      </c>
      <c r="Q202" s="68">
        <v>2038</v>
      </c>
      <c r="R202" s="67">
        <f t="shared" si="398"/>
        <v>0.1885640266469282</v>
      </c>
      <c r="S202" s="40">
        <v>10808</v>
      </c>
      <c r="T202" s="3">
        <v>176</v>
      </c>
      <c r="U202" s="7">
        <f t="shared" si="399"/>
        <v>0.42206235011990406</v>
      </c>
      <c r="V202" s="44">
        <v>417</v>
      </c>
      <c r="W202" s="63">
        <f t="shared" si="400"/>
        <v>2327</v>
      </c>
      <c r="X202" s="7">
        <f t="shared" si="401"/>
        <v>4.175781186912416E-3</v>
      </c>
      <c r="Y202" s="26">
        <f t="shared" si="402"/>
        <v>557261</v>
      </c>
      <c r="Z202" s="63">
        <v>5713</v>
      </c>
      <c r="AA202" s="13"/>
      <c r="AB202" s="13"/>
      <c r="AC202" s="42">
        <v>167</v>
      </c>
      <c r="AD202" s="13"/>
      <c r="AE202" s="43"/>
      <c r="AF202" s="13">
        <v>15</v>
      </c>
      <c r="AG202" s="13"/>
      <c r="AH202" s="44"/>
      <c r="AI202" s="41"/>
      <c r="AJ202" s="13"/>
      <c r="AK202" s="44"/>
      <c r="AL202" s="41"/>
      <c r="AM202" s="13"/>
      <c r="AN202" s="13"/>
      <c r="AO202" s="44"/>
      <c r="AP202" s="63"/>
      <c r="AQ202" s="15"/>
      <c r="AR202" s="13"/>
      <c r="AS202" s="13"/>
      <c r="AT202" s="44"/>
      <c r="AU202" s="5"/>
      <c r="AV202" s="5"/>
      <c r="AW202" s="5"/>
      <c r="AX202" s="5"/>
    </row>
    <row r="203" spans="1:50" x14ac:dyDescent="0.15">
      <c r="A203" s="147">
        <v>37591</v>
      </c>
      <c r="B203" s="3">
        <v>154</v>
      </c>
      <c r="C203" s="13"/>
      <c r="D203" s="13"/>
      <c r="E203" s="57">
        <v>353</v>
      </c>
      <c r="F203" s="13"/>
      <c r="G203" s="43"/>
      <c r="H203" s="13">
        <v>12</v>
      </c>
      <c r="I203" s="13"/>
      <c r="J203" s="13"/>
      <c r="K203" s="41"/>
      <c r="L203" s="13"/>
      <c r="M203" s="44"/>
      <c r="N203" s="63">
        <v>119</v>
      </c>
      <c r="O203" s="67">
        <f t="shared" si="397"/>
        <v>2.1828654235951243E-4</v>
      </c>
      <c r="P203" s="3">
        <f>497282+47440+433</f>
        <v>545155</v>
      </c>
      <c r="Q203" s="68">
        <v>2176</v>
      </c>
      <c r="R203" s="67">
        <f t="shared" si="398"/>
        <v>0.20150013890175017</v>
      </c>
      <c r="S203" s="40">
        <v>10799</v>
      </c>
      <c r="T203" s="3">
        <v>172</v>
      </c>
      <c r="U203" s="7">
        <f t="shared" si="399"/>
        <v>0.42469135802469138</v>
      </c>
      <c r="V203" s="44">
        <v>405</v>
      </c>
      <c r="W203" s="63">
        <f t="shared" si="400"/>
        <v>2467</v>
      </c>
      <c r="X203" s="7">
        <f t="shared" si="401"/>
        <v>4.4341872783580389E-3</v>
      </c>
      <c r="Y203" s="26">
        <f t="shared" si="402"/>
        <v>556359</v>
      </c>
      <c r="Z203" s="63">
        <v>5715</v>
      </c>
      <c r="AA203" s="13"/>
      <c r="AB203" s="13"/>
      <c r="AC203" s="42">
        <v>171</v>
      </c>
      <c r="AD203" s="13"/>
      <c r="AE203" s="43"/>
      <c r="AF203" s="13">
        <v>14</v>
      </c>
      <c r="AG203" s="13"/>
      <c r="AH203" s="44"/>
      <c r="AI203" s="41"/>
      <c r="AJ203" s="13"/>
      <c r="AK203" s="44"/>
      <c r="AL203" s="41"/>
      <c r="AM203" s="13"/>
      <c r="AN203" s="13"/>
      <c r="AO203" s="44"/>
      <c r="AP203" s="63">
        <v>8713</v>
      </c>
      <c r="AQ203" s="15"/>
      <c r="AR203" s="13"/>
      <c r="AS203" s="13"/>
      <c r="AT203" s="44"/>
      <c r="AU203" s="5"/>
      <c r="AV203" s="5"/>
      <c r="AW203" s="5"/>
      <c r="AX203" s="5"/>
    </row>
    <row r="204" spans="1:50" x14ac:dyDescent="0.15">
      <c r="A204" s="147">
        <v>37561</v>
      </c>
      <c r="B204" s="3">
        <v>155</v>
      </c>
      <c r="C204" s="13"/>
      <c r="D204" s="13"/>
      <c r="E204" s="57">
        <v>355</v>
      </c>
      <c r="F204" s="13"/>
      <c r="G204" s="43"/>
      <c r="H204" s="13">
        <v>11</v>
      </c>
      <c r="I204" s="13"/>
      <c r="J204" s="13"/>
      <c r="K204" s="41"/>
      <c r="L204" s="13"/>
      <c r="M204" s="44"/>
      <c r="N204" s="63">
        <v>118</v>
      </c>
      <c r="O204" s="67">
        <f t="shared" si="397"/>
        <v>2.167981847745207E-4</v>
      </c>
      <c r="P204" s="3">
        <f>496354+47498+433</f>
        <v>544285</v>
      </c>
      <c r="Q204" s="68">
        <v>2163</v>
      </c>
      <c r="R204" s="67">
        <f t="shared" si="398"/>
        <v>0.20249017038007863</v>
      </c>
      <c r="S204" s="40">
        <v>10682</v>
      </c>
      <c r="T204" s="3">
        <v>169</v>
      </c>
      <c r="U204" s="7">
        <f t="shared" si="399"/>
        <v>0.41728395061728396</v>
      </c>
      <c r="V204" s="44">
        <v>405</v>
      </c>
      <c r="W204" s="63">
        <f t="shared" si="400"/>
        <v>2450</v>
      </c>
      <c r="X204" s="7">
        <f t="shared" si="401"/>
        <v>4.4114575455730569E-3</v>
      </c>
      <c r="Y204" s="26">
        <f t="shared" si="402"/>
        <v>555372</v>
      </c>
      <c r="Z204" s="63">
        <v>5703</v>
      </c>
      <c r="AA204" s="13"/>
      <c r="AB204" s="13"/>
      <c r="AC204" s="42">
        <v>172</v>
      </c>
      <c r="AD204" s="13"/>
      <c r="AE204" s="43"/>
      <c r="AF204" s="13">
        <v>14</v>
      </c>
      <c r="AG204" s="13"/>
      <c r="AH204" s="44"/>
      <c r="AI204" s="41"/>
      <c r="AJ204" s="13"/>
      <c r="AK204" s="44"/>
      <c r="AL204" s="41"/>
      <c r="AM204" s="13"/>
      <c r="AN204" s="13"/>
      <c r="AO204" s="44"/>
      <c r="AP204" s="63">
        <v>8886</v>
      </c>
      <c r="AQ204" s="15"/>
      <c r="AR204" s="13"/>
      <c r="AS204" s="13"/>
      <c r="AT204" s="44"/>
      <c r="AU204" s="5"/>
      <c r="AV204" s="5"/>
      <c r="AW204" s="5"/>
      <c r="AX204" s="5"/>
    </row>
    <row r="205" spans="1:50" x14ac:dyDescent="0.15">
      <c r="A205" s="147">
        <v>37530</v>
      </c>
      <c r="B205" s="3">
        <v>161</v>
      </c>
      <c r="C205" s="13"/>
      <c r="D205" s="13"/>
      <c r="E205" s="57">
        <v>364</v>
      </c>
      <c r="F205" s="13"/>
      <c r="G205" s="43"/>
      <c r="H205" s="13">
        <v>12</v>
      </c>
      <c r="I205" s="13"/>
      <c r="J205" s="13"/>
      <c r="K205" s="41"/>
      <c r="L205" s="13"/>
      <c r="M205" s="44"/>
      <c r="N205" s="63">
        <v>118</v>
      </c>
      <c r="O205" s="67">
        <f t="shared" si="397"/>
        <v>2.171145113451532E-4</v>
      </c>
      <c r="P205" s="3">
        <f>495390+47669+433</f>
        <v>543492</v>
      </c>
      <c r="Q205" s="68">
        <v>2175</v>
      </c>
      <c r="R205" s="67">
        <f t="shared" si="398"/>
        <v>0.20464809936018066</v>
      </c>
      <c r="S205" s="40">
        <v>10628</v>
      </c>
      <c r="T205" s="3">
        <v>175</v>
      </c>
      <c r="U205" s="7">
        <f t="shared" si="399"/>
        <v>0.43424317617866004</v>
      </c>
      <c r="V205" s="44">
        <v>403</v>
      </c>
      <c r="W205" s="63">
        <f t="shared" si="400"/>
        <v>2468</v>
      </c>
      <c r="X205" s="7">
        <f t="shared" si="401"/>
        <v>4.4506720190145401E-3</v>
      </c>
      <c r="Y205" s="26">
        <f t="shared" si="402"/>
        <v>554523</v>
      </c>
      <c r="Z205" s="63">
        <v>5646</v>
      </c>
      <c r="AA205" s="13"/>
      <c r="AB205" s="13"/>
      <c r="AC205" s="42">
        <v>170</v>
      </c>
      <c r="AD205" s="13"/>
      <c r="AE205" s="43"/>
      <c r="AF205" s="13">
        <v>14</v>
      </c>
      <c r="AG205" s="13"/>
      <c r="AH205" s="44"/>
      <c r="AI205" s="41"/>
      <c r="AJ205" s="13"/>
      <c r="AK205" s="44"/>
      <c r="AL205" s="41"/>
      <c r="AM205" s="13"/>
      <c r="AN205" s="13"/>
      <c r="AO205" s="44"/>
      <c r="AP205" s="63">
        <v>8860</v>
      </c>
      <c r="AQ205" s="15"/>
      <c r="AR205" s="13"/>
      <c r="AS205" s="13"/>
      <c r="AT205" s="44"/>
      <c r="AU205" s="5"/>
      <c r="AV205" s="5"/>
      <c r="AW205" s="5"/>
      <c r="AX205" s="5"/>
    </row>
    <row r="206" spans="1:50" x14ac:dyDescent="0.15">
      <c r="A206" s="147">
        <v>37500</v>
      </c>
      <c r="B206" s="3">
        <v>162</v>
      </c>
      <c r="C206" s="13"/>
      <c r="D206" s="13"/>
      <c r="E206" s="57">
        <v>361</v>
      </c>
      <c r="F206" s="13"/>
      <c r="G206" s="43"/>
      <c r="H206" s="13">
        <v>13</v>
      </c>
      <c r="I206" s="13"/>
      <c r="J206" s="13"/>
      <c r="K206" s="41"/>
      <c r="L206" s="13"/>
      <c r="M206" s="44"/>
      <c r="N206" s="63">
        <v>120</v>
      </c>
      <c r="O206" s="67">
        <f t="shared" si="397"/>
        <v>2.2097982454201932E-4</v>
      </c>
      <c r="P206" s="3">
        <f>494815+47789+432</f>
        <v>543036</v>
      </c>
      <c r="Q206" s="68">
        <v>2166</v>
      </c>
      <c r="R206" s="67">
        <f t="shared" si="398"/>
        <v>0.20620715917745622</v>
      </c>
      <c r="S206" s="40">
        <v>10504</v>
      </c>
      <c r="T206" s="3">
        <v>186</v>
      </c>
      <c r="U206" s="7">
        <f t="shared" si="399"/>
        <v>0.46733668341708545</v>
      </c>
      <c r="V206" s="44">
        <v>398</v>
      </c>
      <c r="W206" s="63">
        <f t="shared" si="400"/>
        <v>2472</v>
      </c>
      <c r="X206" s="7">
        <f t="shared" si="401"/>
        <v>4.4625932866133033E-3</v>
      </c>
      <c r="Y206" s="26">
        <f t="shared" si="402"/>
        <v>553938</v>
      </c>
      <c r="Z206" s="63">
        <v>5597</v>
      </c>
      <c r="AA206" s="13"/>
      <c r="AB206" s="13"/>
      <c r="AC206" s="42">
        <v>168</v>
      </c>
      <c r="AD206" s="13"/>
      <c r="AE206" s="43"/>
      <c r="AF206" s="13">
        <v>15</v>
      </c>
      <c r="AG206" s="13"/>
      <c r="AH206" s="44"/>
      <c r="AI206" s="41"/>
      <c r="AJ206" s="13"/>
      <c r="AK206" s="44"/>
      <c r="AL206" s="41"/>
      <c r="AM206" s="13"/>
      <c r="AN206" s="13"/>
      <c r="AO206" s="44"/>
      <c r="AP206" s="63">
        <v>8835</v>
      </c>
      <c r="AQ206" s="15"/>
      <c r="AR206" s="13"/>
      <c r="AS206" s="13"/>
      <c r="AT206" s="44"/>
      <c r="AU206" s="5"/>
      <c r="AV206" s="5"/>
      <c r="AW206" s="5"/>
      <c r="AX206" s="5"/>
    </row>
    <row r="207" spans="1:50" x14ac:dyDescent="0.15">
      <c r="A207" s="147">
        <v>37469</v>
      </c>
      <c r="B207" s="3">
        <v>161</v>
      </c>
      <c r="C207" s="13"/>
      <c r="D207" s="13"/>
      <c r="E207" s="57">
        <v>364</v>
      </c>
      <c r="F207" s="13"/>
      <c r="G207" s="43"/>
      <c r="H207" s="13">
        <v>13</v>
      </c>
      <c r="I207" s="13"/>
      <c r="J207" s="13"/>
      <c r="K207" s="41"/>
      <c r="L207" s="13"/>
      <c r="M207" s="44"/>
      <c r="N207" s="63">
        <v>122</v>
      </c>
      <c r="O207" s="67">
        <f t="shared" si="397"/>
        <v>2.2497353794861014E-4</v>
      </c>
      <c r="P207" s="3">
        <f>494111+47743+432</f>
        <v>542286</v>
      </c>
      <c r="Q207" s="68">
        <v>2236</v>
      </c>
      <c r="R207" s="67">
        <f t="shared" si="398"/>
        <v>0.21297266406324411</v>
      </c>
      <c r="S207" s="40">
        <v>10499</v>
      </c>
      <c r="T207" s="3">
        <v>193</v>
      </c>
      <c r="U207" s="7">
        <f t="shared" si="399"/>
        <v>0.49234693877551022</v>
      </c>
      <c r="V207" s="44">
        <v>392</v>
      </c>
      <c r="W207" s="63">
        <f t="shared" si="400"/>
        <v>2551</v>
      </c>
      <c r="X207" s="7">
        <f t="shared" si="401"/>
        <v>4.6115438638988969E-3</v>
      </c>
      <c r="Y207" s="26">
        <f t="shared" si="402"/>
        <v>553177</v>
      </c>
      <c r="Z207" s="63">
        <v>5571</v>
      </c>
      <c r="AA207" s="13"/>
      <c r="AB207" s="13"/>
      <c r="AC207" s="42">
        <v>164</v>
      </c>
      <c r="AD207" s="13"/>
      <c r="AE207" s="43"/>
      <c r="AF207" s="13">
        <v>15</v>
      </c>
      <c r="AG207" s="13"/>
      <c r="AH207" s="44"/>
      <c r="AI207" s="41"/>
      <c r="AJ207" s="13"/>
      <c r="AK207" s="44"/>
      <c r="AL207" s="41"/>
      <c r="AM207" s="13"/>
      <c r="AN207" s="13"/>
      <c r="AO207" s="44"/>
      <c r="AP207" s="63">
        <v>8789</v>
      </c>
      <c r="AQ207" s="15"/>
      <c r="AR207" s="13"/>
      <c r="AS207" s="13"/>
      <c r="AT207" s="44"/>
      <c r="AU207" s="5"/>
      <c r="AV207" s="5"/>
      <c r="AW207" s="5"/>
      <c r="AX207" s="5"/>
    </row>
    <row r="208" spans="1:50" x14ac:dyDescent="0.15">
      <c r="A208" s="147">
        <v>37438</v>
      </c>
      <c r="B208" s="3">
        <v>173</v>
      </c>
      <c r="C208" s="13"/>
      <c r="D208" s="13"/>
      <c r="E208" s="57">
        <v>382</v>
      </c>
      <c r="F208" s="13"/>
      <c r="G208" s="43"/>
      <c r="H208" s="13">
        <v>13</v>
      </c>
      <c r="I208" s="13"/>
      <c r="J208" s="13"/>
      <c r="K208" s="41"/>
      <c r="L208" s="13"/>
      <c r="M208" s="44"/>
      <c r="N208" s="63">
        <v>123</v>
      </c>
      <c r="O208" s="67">
        <f t="shared" si="397"/>
        <v>2.2715184824040422E-4</v>
      </c>
      <c r="P208" s="3">
        <f>493406+47650+432</f>
        <v>541488</v>
      </c>
      <c r="Q208" s="68">
        <v>2334</v>
      </c>
      <c r="R208" s="67">
        <f t="shared" si="398"/>
        <v>0.22296522735957203</v>
      </c>
      <c r="S208" s="40">
        <v>10468</v>
      </c>
      <c r="T208" s="3">
        <v>197</v>
      </c>
      <c r="U208" s="7">
        <f t="shared" si="399"/>
        <v>0.50383631713554988</v>
      </c>
      <c r="V208" s="44">
        <v>391</v>
      </c>
      <c r="W208" s="63">
        <f t="shared" si="400"/>
        <v>2654</v>
      </c>
      <c r="X208" s="7">
        <f t="shared" si="401"/>
        <v>4.8049505111822819E-3</v>
      </c>
      <c r="Y208" s="26">
        <f t="shared" si="402"/>
        <v>552347</v>
      </c>
      <c r="Z208" s="63">
        <v>5467</v>
      </c>
      <c r="AA208" s="13"/>
      <c r="AB208" s="13"/>
      <c r="AC208" s="42">
        <v>161</v>
      </c>
      <c r="AD208" s="13"/>
      <c r="AE208" s="43"/>
      <c r="AF208" s="13">
        <v>15</v>
      </c>
      <c r="AG208" s="13"/>
      <c r="AH208" s="44"/>
      <c r="AI208" s="41"/>
      <c r="AJ208" s="13"/>
      <c r="AK208" s="44"/>
      <c r="AL208" s="41"/>
      <c r="AM208" s="13"/>
      <c r="AN208" s="13"/>
      <c r="AO208" s="44"/>
      <c r="AP208" s="63">
        <v>8839</v>
      </c>
      <c r="AQ208" s="15"/>
      <c r="AR208" s="13"/>
      <c r="AS208" s="13"/>
      <c r="AT208" s="44"/>
      <c r="AU208" s="5"/>
      <c r="AV208" s="5"/>
      <c r="AW208" s="5"/>
      <c r="AX208" s="5"/>
    </row>
    <row r="209" spans="1:50" x14ac:dyDescent="0.15">
      <c r="A209" s="147">
        <v>37408</v>
      </c>
      <c r="B209" s="3">
        <v>175</v>
      </c>
      <c r="C209" s="13"/>
      <c r="D209" s="13"/>
      <c r="E209" s="57">
        <v>384</v>
      </c>
      <c r="F209" s="13"/>
      <c r="G209" s="43"/>
      <c r="H209" s="13">
        <v>14</v>
      </c>
      <c r="I209" s="13"/>
      <c r="J209" s="13"/>
      <c r="K209" s="41"/>
      <c r="L209" s="13"/>
      <c r="M209" s="44"/>
      <c r="N209" s="63">
        <v>124</v>
      </c>
      <c r="O209" s="67">
        <f t="shared" si="397"/>
        <v>2.2923059858764373E-4</v>
      </c>
      <c r="P209" s="3">
        <f>492893+47614+433</f>
        <v>540940</v>
      </c>
      <c r="Q209" s="68">
        <v>2338</v>
      </c>
      <c r="R209" s="67">
        <f t="shared" si="398"/>
        <v>0.22465648121456711</v>
      </c>
      <c r="S209" s="40">
        <v>10407</v>
      </c>
      <c r="T209" s="3">
        <v>198</v>
      </c>
      <c r="U209" s="7">
        <f t="shared" si="399"/>
        <v>0.50126582278481013</v>
      </c>
      <c r="V209" s="44">
        <v>395</v>
      </c>
      <c r="W209" s="63">
        <f t="shared" si="400"/>
        <v>2660</v>
      </c>
      <c r="X209" s="7">
        <f t="shared" si="401"/>
        <v>4.8210939170844347E-3</v>
      </c>
      <c r="Y209" s="26">
        <f t="shared" si="402"/>
        <v>551742</v>
      </c>
      <c r="Z209" s="63">
        <v>5262</v>
      </c>
      <c r="AA209" s="13"/>
      <c r="AB209" s="13"/>
      <c r="AC209" s="42">
        <v>160</v>
      </c>
      <c r="AD209" s="13"/>
      <c r="AE209" s="43"/>
      <c r="AF209" s="13">
        <v>15</v>
      </c>
      <c r="AG209" s="13"/>
      <c r="AH209" s="44"/>
      <c r="AI209" s="41"/>
      <c r="AJ209" s="13"/>
      <c r="AK209" s="44"/>
      <c r="AL209" s="41"/>
      <c r="AM209" s="13"/>
      <c r="AN209" s="13"/>
      <c r="AO209" s="44"/>
      <c r="AP209" s="63">
        <v>8865</v>
      </c>
      <c r="AQ209" s="15"/>
      <c r="AR209" s="13"/>
      <c r="AS209" s="13"/>
      <c r="AT209" s="44"/>
      <c r="AU209" s="5"/>
      <c r="AV209" s="5"/>
      <c r="AW209" s="5"/>
      <c r="AX209" s="5"/>
    </row>
    <row r="210" spans="1:50" x14ac:dyDescent="0.15">
      <c r="A210" s="147">
        <v>37377</v>
      </c>
      <c r="B210" s="3">
        <v>177</v>
      </c>
      <c r="C210" s="13"/>
      <c r="D210" s="13"/>
      <c r="E210" s="57">
        <v>385</v>
      </c>
      <c r="F210" s="13"/>
      <c r="G210" s="43"/>
      <c r="H210" s="13">
        <v>14</v>
      </c>
      <c r="I210" s="13"/>
      <c r="J210" s="13"/>
      <c r="K210" s="41"/>
      <c r="L210" s="13"/>
      <c r="M210" s="44"/>
      <c r="N210" s="63">
        <v>126</v>
      </c>
      <c r="O210" s="67">
        <f t="shared" si="397"/>
        <v>2.331058393012745E-4</v>
      </c>
      <c r="P210" s="3">
        <f>492578+47516+433</f>
        <v>540527</v>
      </c>
      <c r="Q210" s="68">
        <v>2396</v>
      </c>
      <c r="R210" s="67">
        <f t="shared" si="398"/>
        <v>0.231945788964182</v>
      </c>
      <c r="S210" s="40">
        <v>10330</v>
      </c>
      <c r="T210" s="3">
        <v>212</v>
      </c>
      <c r="U210" s="7">
        <f t="shared" si="399"/>
        <v>0.53670886075949364</v>
      </c>
      <c r="V210" s="44">
        <v>395</v>
      </c>
      <c r="W210" s="63">
        <f t="shared" si="400"/>
        <v>2734</v>
      </c>
      <c r="X210" s="7">
        <f t="shared" si="401"/>
        <v>4.9596191941253731E-3</v>
      </c>
      <c r="Y210" s="26">
        <f t="shared" si="402"/>
        <v>551252</v>
      </c>
      <c r="Z210" s="63">
        <v>4723</v>
      </c>
      <c r="AA210" s="13"/>
      <c r="AB210" s="13"/>
      <c r="AC210" s="42">
        <v>158</v>
      </c>
      <c r="AD210" s="13"/>
      <c r="AE210" s="43"/>
      <c r="AF210" s="13">
        <v>15</v>
      </c>
      <c r="AG210" s="13"/>
      <c r="AH210" s="44"/>
      <c r="AI210" s="41"/>
      <c r="AJ210" s="13"/>
      <c r="AK210" s="44"/>
      <c r="AL210" s="41"/>
      <c r="AM210" s="13"/>
      <c r="AN210" s="13"/>
      <c r="AO210" s="44"/>
      <c r="AP210" s="63">
        <v>8670</v>
      </c>
      <c r="AQ210" s="15"/>
      <c r="AR210" s="13"/>
      <c r="AS210" s="13"/>
      <c r="AT210" s="44"/>
      <c r="AU210" s="5"/>
      <c r="AV210" s="5"/>
      <c r="AW210" s="5"/>
      <c r="AX210" s="5"/>
    </row>
    <row r="211" spans="1:50" x14ac:dyDescent="0.15">
      <c r="A211" s="147">
        <v>37347</v>
      </c>
      <c r="B211" s="3">
        <v>178</v>
      </c>
      <c r="C211" s="13"/>
      <c r="D211" s="13"/>
      <c r="E211" s="57">
        <v>383</v>
      </c>
      <c r="F211" s="13"/>
      <c r="G211" s="43"/>
      <c r="H211" s="13">
        <v>19</v>
      </c>
      <c r="I211" s="13"/>
      <c r="J211" s="13"/>
      <c r="K211" s="41"/>
      <c r="L211" s="13"/>
      <c r="M211" s="44"/>
      <c r="N211" s="63">
        <v>133</v>
      </c>
      <c r="O211" s="67">
        <f t="shared" si="397"/>
        <v>2.4604250800563124E-4</v>
      </c>
      <c r="P211" s="3">
        <f>492315+47809+433</f>
        <v>540557</v>
      </c>
      <c r="Q211" s="68">
        <v>3321</v>
      </c>
      <c r="R211" s="67">
        <f t="shared" si="398"/>
        <v>0.33538679054736414</v>
      </c>
      <c r="S211" s="40">
        <v>9902</v>
      </c>
      <c r="T211" s="3">
        <v>256</v>
      </c>
      <c r="U211" s="7">
        <f t="shared" si="399"/>
        <v>0.64483627204030225</v>
      </c>
      <c r="V211" s="44">
        <v>397</v>
      </c>
      <c r="W211" s="63">
        <f t="shared" si="400"/>
        <v>3710</v>
      </c>
      <c r="X211" s="7">
        <f t="shared" si="401"/>
        <v>6.734972479196015E-3</v>
      </c>
      <c r="Y211" s="26">
        <f t="shared" si="402"/>
        <v>550856</v>
      </c>
      <c r="Z211" s="63">
        <v>2750</v>
      </c>
      <c r="AA211" s="13"/>
      <c r="AB211" s="13"/>
      <c r="AC211" s="42">
        <v>156</v>
      </c>
      <c r="AD211" s="13"/>
      <c r="AE211" s="43"/>
      <c r="AF211" s="13">
        <v>15</v>
      </c>
      <c r="AG211" s="13"/>
      <c r="AH211" s="44"/>
      <c r="AI211" s="41"/>
      <c r="AJ211" s="13"/>
      <c r="AK211" s="44"/>
      <c r="AL211" s="41"/>
      <c r="AM211" s="13"/>
      <c r="AN211" s="13"/>
      <c r="AO211" s="44"/>
      <c r="AP211" s="63">
        <v>8206</v>
      </c>
      <c r="AQ211" s="15"/>
      <c r="AR211" s="13"/>
      <c r="AS211" s="13"/>
      <c r="AT211" s="44"/>
      <c r="AU211" s="5"/>
      <c r="AV211" s="5"/>
      <c r="AW211" s="5"/>
      <c r="AX211" s="5"/>
    </row>
    <row r="212" spans="1:50" x14ac:dyDescent="0.15">
      <c r="A212" s="147">
        <v>37316</v>
      </c>
      <c r="B212" s="3">
        <v>177</v>
      </c>
      <c r="C212" s="13"/>
      <c r="D212" s="13"/>
      <c r="E212" s="57">
        <v>383</v>
      </c>
      <c r="F212" s="13"/>
      <c r="G212" s="43"/>
      <c r="H212" s="13">
        <v>20</v>
      </c>
      <c r="I212" s="13"/>
      <c r="J212" s="13"/>
      <c r="K212" s="41"/>
      <c r="L212" s="13"/>
      <c r="M212" s="44"/>
      <c r="N212" s="63">
        <v>125</v>
      </c>
      <c r="O212" s="67">
        <f t="shared" si="397"/>
        <v>2.315020594423208E-4</v>
      </c>
      <c r="P212" s="3">
        <f>491861+47658+433</f>
        <v>539952</v>
      </c>
      <c r="Q212" s="68">
        <v>3368</v>
      </c>
      <c r="R212" s="67">
        <f t="shared" si="398"/>
        <v>0.34483464728166274</v>
      </c>
      <c r="S212" s="40">
        <v>9767</v>
      </c>
      <c r="T212" s="3">
        <v>256</v>
      </c>
      <c r="U212" s="7">
        <f t="shared" si="399"/>
        <v>0.65139949109414763</v>
      </c>
      <c r="V212" s="44">
        <v>393</v>
      </c>
      <c r="W212" s="63">
        <f t="shared" si="400"/>
        <v>3749</v>
      </c>
      <c r="X212" s="7">
        <f t="shared" si="401"/>
        <v>6.8149758594613459E-3</v>
      </c>
      <c r="Y212" s="26">
        <f t="shared" si="402"/>
        <v>550112</v>
      </c>
      <c r="Z212" s="63">
        <v>2240</v>
      </c>
      <c r="AA212" s="13"/>
      <c r="AB212" s="13"/>
      <c r="AC212" s="42">
        <v>150</v>
      </c>
      <c r="AD212" s="13"/>
      <c r="AE212" s="43"/>
      <c r="AF212" s="13">
        <v>16</v>
      </c>
      <c r="AG212" s="13"/>
      <c r="AH212" s="44"/>
      <c r="AI212" s="41"/>
      <c r="AJ212" s="13"/>
      <c r="AK212" s="44"/>
      <c r="AL212" s="41"/>
      <c r="AM212" s="13"/>
      <c r="AN212" s="13"/>
      <c r="AO212" s="44"/>
      <c r="AP212" s="63">
        <v>7211</v>
      </c>
      <c r="AQ212" s="15"/>
      <c r="AR212" s="13"/>
      <c r="AS212" s="13"/>
      <c r="AT212" s="44"/>
      <c r="AU212" s="5"/>
      <c r="AV212" s="5"/>
      <c r="AW212" s="5"/>
      <c r="AX212" s="5"/>
    </row>
    <row r="213" spans="1:50" x14ac:dyDescent="0.15">
      <c r="A213" s="147">
        <v>37288</v>
      </c>
      <c r="B213" s="3">
        <v>170</v>
      </c>
      <c r="C213" s="13"/>
      <c r="D213" s="43"/>
      <c r="E213" s="57">
        <v>346</v>
      </c>
      <c r="F213" s="13"/>
      <c r="G213" s="43"/>
      <c r="H213" s="13">
        <v>19</v>
      </c>
      <c r="I213" s="13"/>
      <c r="J213" s="13"/>
      <c r="K213" s="41"/>
      <c r="L213" s="13"/>
      <c r="M213" s="44"/>
      <c r="N213" s="63">
        <v>149</v>
      </c>
      <c r="O213" s="67">
        <f t="shared" si="397"/>
        <v>2.7626204474703479E-4</v>
      </c>
      <c r="P213" s="3">
        <f>491410+47503+430</f>
        <v>539343</v>
      </c>
      <c r="Q213" s="68">
        <v>3243</v>
      </c>
      <c r="R213" s="67">
        <f t="shared" si="398"/>
        <v>0.33432989690721648</v>
      </c>
      <c r="S213" s="40">
        <v>9700</v>
      </c>
      <c r="T213" s="3">
        <v>249</v>
      </c>
      <c r="U213" s="7">
        <f t="shared" si="399"/>
        <v>0.64507772020725385</v>
      </c>
      <c r="V213" s="44">
        <v>386</v>
      </c>
      <c r="W213" s="63">
        <f t="shared" si="400"/>
        <v>3641</v>
      </c>
      <c r="X213" s="7">
        <f t="shared" si="401"/>
        <v>6.6268799062299223E-3</v>
      </c>
      <c r="Y213" s="26">
        <f t="shared" si="402"/>
        <v>549429</v>
      </c>
      <c r="Z213" s="63">
        <v>2010</v>
      </c>
      <c r="AA213" s="13"/>
      <c r="AB213" s="13"/>
      <c r="AC213" s="42">
        <v>147</v>
      </c>
      <c r="AD213" s="13"/>
      <c r="AE213" s="43"/>
      <c r="AF213" s="13">
        <v>15</v>
      </c>
      <c r="AG213" s="13"/>
      <c r="AH213" s="44"/>
      <c r="AI213" s="41"/>
      <c r="AJ213" s="13"/>
      <c r="AK213" s="44"/>
      <c r="AL213" s="41"/>
      <c r="AM213" s="13"/>
      <c r="AN213" s="13"/>
      <c r="AO213" s="44"/>
      <c r="AP213" s="63">
        <v>6735</v>
      </c>
      <c r="AQ213" s="15"/>
      <c r="AR213" s="13"/>
      <c r="AS213" s="13"/>
      <c r="AT213" s="44"/>
      <c r="AU213" s="5"/>
      <c r="AV213" s="5"/>
      <c r="AW213" s="5"/>
      <c r="AX213" s="5"/>
    </row>
    <row r="214" spans="1:50" x14ac:dyDescent="0.15">
      <c r="A214" s="147">
        <v>37257</v>
      </c>
      <c r="B214" s="3">
        <v>154</v>
      </c>
      <c r="C214" s="13"/>
      <c r="D214" s="13"/>
      <c r="E214" s="57">
        <v>304</v>
      </c>
      <c r="F214" s="13"/>
      <c r="G214" s="43"/>
      <c r="H214" s="13">
        <v>18</v>
      </c>
      <c r="I214" s="13"/>
      <c r="J214" s="13"/>
      <c r="K214" s="41"/>
      <c r="L214" s="13"/>
      <c r="M214" s="44"/>
      <c r="N214" s="63">
        <v>163</v>
      </c>
      <c r="O214" s="67">
        <f t="shared" si="397"/>
        <v>3.0272639477007651E-4</v>
      </c>
      <c r="P214" s="3">
        <f>490703+47309+428</f>
        <v>538440</v>
      </c>
      <c r="Q214" s="68">
        <v>3092</v>
      </c>
      <c r="R214" s="67">
        <f t="shared" si="398"/>
        <v>0.31755160727123344</v>
      </c>
      <c r="S214" s="40">
        <v>9737</v>
      </c>
      <c r="T214" s="3">
        <v>245</v>
      </c>
      <c r="U214" s="7">
        <f t="shared" si="399"/>
        <v>0.63144329896907214</v>
      </c>
      <c r="V214" s="44">
        <v>388</v>
      </c>
      <c r="W214" s="63">
        <f t="shared" si="400"/>
        <v>3500</v>
      </c>
      <c r="X214" s="7">
        <f t="shared" si="401"/>
        <v>6.3802831022759382E-3</v>
      </c>
      <c r="Y214" s="26">
        <f t="shared" si="402"/>
        <v>548565</v>
      </c>
      <c r="Z214" s="63">
        <v>1650</v>
      </c>
      <c r="AA214" s="13"/>
      <c r="AB214" s="13"/>
      <c r="AC214" s="42">
        <v>172</v>
      </c>
      <c r="AD214" s="13"/>
      <c r="AE214" s="43"/>
      <c r="AF214" s="13">
        <v>15</v>
      </c>
      <c r="AG214" s="13"/>
      <c r="AH214" s="44"/>
      <c r="AI214" s="41"/>
      <c r="AJ214" s="13"/>
      <c r="AK214" s="44"/>
      <c r="AL214" s="41"/>
      <c r="AM214" s="13"/>
      <c r="AN214" s="13"/>
      <c r="AO214" s="44"/>
      <c r="AP214" s="63">
        <v>6348</v>
      </c>
      <c r="AQ214" s="15"/>
      <c r="AR214" s="13"/>
      <c r="AS214" s="13"/>
      <c r="AT214" s="44"/>
      <c r="AU214" s="5"/>
      <c r="AV214" s="5"/>
      <c r="AW214" s="5"/>
      <c r="AX214" s="5"/>
    </row>
    <row r="215" spans="1:50" x14ac:dyDescent="0.15">
      <c r="A215" s="147">
        <v>37226</v>
      </c>
      <c r="B215" s="3">
        <v>133</v>
      </c>
      <c r="C215" s="13"/>
      <c r="D215" s="13"/>
      <c r="E215" s="57">
        <v>225</v>
      </c>
      <c r="F215" s="13"/>
      <c r="G215" s="43"/>
      <c r="H215" s="13">
        <v>18</v>
      </c>
      <c r="I215" s="13"/>
      <c r="J215" s="13"/>
      <c r="K215" s="41"/>
      <c r="L215" s="13"/>
      <c r="M215" s="44"/>
      <c r="N215" s="63">
        <v>161</v>
      </c>
      <c r="O215" s="67">
        <f t="shared" si="397"/>
        <v>2.995510455447829E-4</v>
      </c>
      <c r="P215" s="3">
        <f>489925+47119+427</f>
        <v>537471</v>
      </c>
      <c r="Q215" s="68">
        <v>2908</v>
      </c>
      <c r="R215" s="67">
        <f t="shared" si="398"/>
        <v>0.29734151329243352</v>
      </c>
      <c r="S215" s="40">
        <v>9780</v>
      </c>
      <c r="T215" s="3">
        <v>238</v>
      </c>
      <c r="U215" s="7">
        <f t="shared" si="399"/>
        <v>0.61818181818181817</v>
      </c>
      <c r="V215" s="44">
        <v>385</v>
      </c>
      <c r="W215" s="63">
        <f t="shared" si="400"/>
        <v>3307</v>
      </c>
      <c r="X215" s="7">
        <f t="shared" si="401"/>
        <v>6.0386826286073234E-3</v>
      </c>
      <c r="Y215" s="26">
        <f t="shared" si="402"/>
        <v>547636</v>
      </c>
      <c r="Z215" s="63">
        <v>1281</v>
      </c>
      <c r="AA215" s="13"/>
      <c r="AB215" s="13"/>
      <c r="AC215" s="42">
        <v>130</v>
      </c>
      <c r="AD215" s="13"/>
      <c r="AE215" s="43"/>
      <c r="AF215" s="13">
        <v>14</v>
      </c>
      <c r="AG215" s="13"/>
      <c r="AH215" s="44"/>
      <c r="AI215" s="41"/>
      <c r="AJ215" s="13"/>
      <c r="AK215" s="44"/>
      <c r="AL215" s="41"/>
      <c r="AM215" s="13"/>
      <c r="AN215" s="13"/>
      <c r="AO215" s="44"/>
      <c r="AP215" s="63">
        <v>5813</v>
      </c>
      <c r="AQ215" s="15"/>
      <c r="AR215" s="13"/>
      <c r="AS215" s="13"/>
      <c r="AT215" s="44"/>
      <c r="AU215" s="5"/>
      <c r="AV215" s="5"/>
      <c r="AW215" s="5"/>
      <c r="AX215" s="5"/>
    </row>
    <row r="216" spans="1:50" x14ac:dyDescent="0.15">
      <c r="A216" s="147">
        <v>37196</v>
      </c>
      <c r="B216" s="3">
        <v>125</v>
      </c>
      <c r="C216" s="13"/>
      <c r="D216" s="13"/>
      <c r="E216" s="57">
        <v>203</v>
      </c>
      <c r="F216" s="13"/>
      <c r="G216" s="43"/>
      <c r="H216" s="13">
        <v>18</v>
      </c>
      <c r="I216" s="13"/>
      <c r="J216" s="13"/>
      <c r="K216" s="41"/>
      <c r="L216" s="13"/>
      <c r="M216" s="44"/>
      <c r="N216" s="63">
        <v>162</v>
      </c>
      <c r="O216" s="67">
        <f t="shared" si="397"/>
        <v>3.0206410471555632E-4</v>
      </c>
      <c r="P216" s="3">
        <f>488997+46886+427</f>
        <v>536310</v>
      </c>
      <c r="Q216" s="68">
        <v>2808</v>
      </c>
      <c r="R216" s="67">
        <f t="shared" si="398"/>
        <v>0.28603443007028623</v>
      </c>
      <c r="S216" s="40">
        <v>9817</v>
      </c>
      <c r="T216" s="3">
        <v>231</v>
      </c>
      <c r="U216" s="7">
        <f t="shared" si="399"/>
        <v>0.60949868073878632</v>
      </c>
      <c r="V216" s="44">
        <v>379</v>
      </c>
      <c r="W216" s="63">
        <f t="shared" si="400"/>
        <v>3201</v>
      </c>
      <c r="X216" s="7">
        <f t="shared" si="401"/>
        <v>5.8572092529633711E-3</v>
      </c>
      <c r="Y216" s="26">
        <f t="shared" si="402"/>
        <v>546506</v>
      </c>
      <c r="Z216" s="63">
        <v>1095</v>
      </c>
      <c r="AA216" s="13"/>
      <c r="AB216" s="13"/>
      <c r="AC216" s="42">
        <v>89</v>
      </c>
      <c r="AD216" s="13"/>
      <c r="AE216" s="43"/>
      <c r="AF216" s="13">
        <v>14</v>
      </c>
      <c r="AG216" s="13"/>
      <c r="AH216" s="44"/>
      <c r="AI216" s="41"/>
      <c r="AJ216" s="13"/>
      <c r="AK216" s="44"/>
      <c r="AL216" s="41"/>
      <c r="AM216" s="13"/>
      <c r="AN216" s="13"/>
      <c r="AO216" s="44"/>
      <c r="AP216" s="63">
        <v>5108</v>
      </c>
      <c r="AQ216" s="15"/>
      <c r="AR216" s="13"/>
      <c r="AS216" s="13"/>
      <c r="AT216" s="44"/>
      <c r="AU216" s="5"/>
      <c r="AV216" s="5"/>
      <c r="AW216" s="5"/>
      <c r="AX216" s="5"/>
    </row>
    <row r="217" spans="1:50" x14ac:dyDescent="0.15">
      <c r="A217" s="147">
        <v>37165</v>
      </c>
      <c r="B217" s="3">
        <v>121</v>
      </c>
      <c r="C217" s="13"/>
      <c r="D217" s="13"/>
      <c r="E217" s="57">
        <v>179</v>
      </c>
      <c r="F217" s="13"/>
      <c r="G217" s="43"/>
      <c r="H217" s="13">
        <v>18</v>
      </c>
      <c r="I217" s="13"/>
      <c r="J217" s="13"/>
      <c r="K217" s="41"/>
      <c r="L217" s="13"/>
      <c r="M217" s="44"/>
      <c r="N217" s="63">
        <v>170</v>
      </c>
      <c r="O217" s="67">
        <f t="shared" si="397"/>
        <v>3.1711684823160723E-4</v>
      </c>
      <c r="P217" s="3">
        <f>488779+46875+426</f>
        <v>536080</v>
      </c>
      <c r="Q217" s="68">
        <v>2644</v>
      </c>
      <c r="R217" s="67">
        <f t="shared" si="398"/>
        <v>0.27029237374769988</v>
      </c>
      <c r="S217" s="40">
        <v>9782</v>
      </c>
      <c r="T217" s="3">
        <v>229</v>
      </c>
      <c r="U217" s="7">
        <f t="shared" si="399"/>
        <v>0.60582010582010581</v>
      </c>
      <c r="V217" s="44">
        <v>378</v>
      </c>
      <c r="W217" s="63">
        <f t="shared" si="400"/>
        <v>3043</v>
      </c>
      <c r="X217" s="7">
        <f t="shared" si="401"/>
        <v>5.5708113649677801E-3</v>
      </c>
      <c r="Y217" s="26">
        <f t="shared" si="402"/>
        <v>546240</v>
      </c>
      <c r="Z217" s="63">
        <v>1072</v>
      </c>
      <c r="AA217" s="13"/>
      <c r="AB217" s="13"/>
      <c r="AC217" s="42">
        <v>89</v>
      </c>
      <c r="AD217" s="13"/>
      <c r="AE217" s="43"/>
      <c r="AF217" s="13">
        <v>13</v>
      </c>
      <c r="AG217" s="13"/>
      <c r="AH217" s="44"/>
      <c r="AI217" s="41"/>
      <c r="AJ217" s="13"/>
      <c r="AK217" s="44"/>
      <c r="AL217" s="41"/>
      <c r="AM217" s="13"/>
      <c r="AN217" s="13"/>
      <c r="AO217" s="44"/>
      <c r="AP217" s="63">
        <v>4745</v>
      </c>
      <c r="AQ217" s="15"/>
      <c r="AR217" s="13"/>
      <c r="AS217" s="13"/>
      <c r="AT217" s="44"/>
      <c r="AU217" s="5"/>
      <c r="AV217" s="5"/>
      <c r="AW217" s="5"/>
      <c r="AX217" s="5"/>
    </row>
    <row r="218" spans="1:50" x14ac:dyDescent="0.15">
      <c r="A218" s="147">
        <v>37135</v>
      </c>
      <c r="B218" s="3">
        <v>85</v>
      </c>
      <c r="C218" s="13"/>
      <c r="D218" s="13"/>
      <c r="E218" s="57">
        <v>140</v>
      </c>
      <c r="F218" s="13"/>
      <c r="G218" s="43"/>
      <c r="H218" s="13">
        <v>17</v>
      </c>
      <c r="I218" s="13"/>
      <c r="J218" s="13"/>
      <c r="K218" s="41"/>
      <c r="L218" s="13"/>
      <c r="M218" s="44"/>
      <c r="N218" s="63">
        <v>176</v>
      </c>
      <c r="O218" s="67">
        <f t="shared" si="397"/>
        <v>3.2861754705672573E-4</v>
      </c>
      <c r="P218" s="3">
        <f>488292+46860+425</f>
        <v>535577</v>
      </c>
      <c r="Q218" s="68">
        <v>2417</v>
      </c>
      <c r="R218" s="67">
        <f t="shared" si="398"/>
        <v>0.24761807191886076</v>
      </c>
      <c r="S218" s="40">
        <v>9761</v>
      </c>
      <c r="T218" s="3">
        <v>213</v>
      </c>
      <c r="U218" s="7">
        <f t="shared" si="399"/>
        <v>0.57104557640750675</v>
      </c>
      <c r="V218" s="44">
        <v>373</v>
      </c>
      <c r="W218" s="63">
        <f t="shared" si="400"/>
        <v>2806</v>
      </c>
      <c r="X218" s="7">
        <f t="shared" si="401"/>
        <v>5.1419157759326822E-3</v>
      </c>
      <c r="Y218" s="26">
        <f t="shared" si="402"/>
        <v>545711</v>
      </c>
      <c r="Z218" s="63">
        <v>1065</v>
      </c>
      <c r="AA218" s="13"/>
      <c r="AB218" s="13"/>
      <c r="AC218" s="42">
        <v>37</v>
      </c>
      <c r="AD218" s="13"/>
      <c r="AE218" s="43"/>
      <c r="AF218" s="13">
        <v>10</v>
      </c>
      <c r="AG218" s="13"/>
      <c r="AH218" s="44"/>
      <c r="AI218" s="41"/>
      <c r="AJ218" s="13"/>
      <c r="AK218" s="44"/>
      <c r="AL218" s="41"/>
      <c r="AM218" s="13"/>
      <c r="AN218" s="13"/>
      <c r="AO218" s="44"/>
      <c r="AP218" s="63">
        <v>4535</v>
      </c>
      <c r="AQ218" s="15"/>
      <c r="AR218" s="13"/>
      <c r="AS218" s="13"/>
      <c r="AT218" s="44"/>
      <c r="AU218" s="5"/>
      <c r="AV218" s="5"/>
      <c r="AW218" s="5"/>
      <c r="AX218" s="5"/>
    </row>
    <row r="219" spans="1:50" x14ac:dyDescent="0.15">
      <c r="A219" s="147">
        <v>37104</v>
      </c>
      <c r="B219" s="3">
        <v>73</v>
      </c>
      <c r="C219" s="13"/>
      <c r="D219" s="13"/>
      <c r="E219" s="57">
        <v>121</v>
      </c>
      <c r="F219" s="13"/>
      <c r="G219" s="43"/>
      <c r="H219" s="13">
        <v>18</v>
      </c>
      <c r="I219" s="13"/>
      <c r="J219" s="13"/>
      <c r="K219" s="41"/>
      <c r="L219" s="13"/>
      <c r="M219" s="44"/>
      <c r="N219" s="63">
        <v>169</v>
      </c>
      <c r="O219" s="67">
        <f t="shared" si="397"/>
        <v>3.1644977062072842E-4</v>
      </c>
      <c r="P219" s="3">
        <f>487014+46608+428</f>
        <v>534050</v>
      </c>
      <c r="Q219" s="68">
        <v>2291</v>
      </c>
      <c r="R219" s="67">
        <f t="shared" si="398"/>
        <v>0.23531224322103533</v>
      </c>
      <c r="S219" s="40">
        <v>9736</v>
      </c>
      <c r="T219" s="3">
        <v>200</v>
      </c>
      <c r="U219" s="7">
        <f t="shared" si="399"/>
        <v>0.54200542005420049</v>
      </c>
      <c r="V219" s="44">
        <v>369</v>
      </c>
      <c r="W219" s="63">
        <f t="shared" si="400"/>
        <v>2660</v>
      </c>
      <c r="X219" s="7">
        <f t="shared" si="401"/>
        <v>4.8883130725620458E-3</v>
      </c>
      <c r="Y219" s="26">
        <f t="shared" si="402"/>
        <v>544155</v>
      </c>
      <c r="Z219" s="63">
        <v>1815</v>
      </c>
      <c r="AA219" s="13"/>
      <c r="AB219" s="13"/>
      <c r="AC219" s="42">
        <v>104</v>
      </c>
      <c r="AD219" s="13"/>
      <c r="AE219" s="43"/>
      <c r="AF219" s="13">
        <v>10</v>
      </c>
      <c r="AG219" s="13"/>
      <c r="AH219" s="44"/>
      <c r="AI219" s="41"/>
      <c r="AJ219" s="13"/>
      <c r="AK219" s="44"/>
      <c r="AL219" s="41"/>
      <c r="AM219" s="13"/>
      <c r="AN219" s="13"/>
      <c r="AO219" s="44"/>
      <c r="AP219" s="63">
        <v>4160</v>
      </c>
      <c r="AQ219" s="15"/>
      <c r="AR219" s="13"/>
      <c r="AS219" s="13"/>
      <c r="AT219" s="44"/>
      <c r="AU219" s="5"/>
      <c r="AV219" s="5"/>
      <c r="AW219" s="5"/>
      <c r="AX219" s="5"/>
    </row>
    <row r="220" spans="1:50" x14ac:dyDescent="0.15">
      <c r="A220" s="147">
        <v>37073</v>
      </c>
      <c r="B220" s="3">
        <v>72</v>
      </c>
      <c r="C220" s="13"/>
      <c r="D220" s="13"/>
      <c r="E220" s="57">
        <v>107</v>
      </c>
      <c r="F220" s="13"/>
      <c r="G220" s="43"/>
      <c r="H220" s="13">
        <v>13</v>
      </c>
      <c r="I220" s="13"/>
      <c r="J220" s="13"/>
      <c r="K220" s="41"/>
      <c r="L220" s="13"/>
      <c r="M220" s="44"/>
      <c r="N220" s="63">
        <v>161</v>
      </c>
      <c r="O220" s="67">
        <f t="shared" si="397"/>
        <v>3.017620278408271E-4</v>
      </c>
      <c r="P220" s="3">
        <f>486650+46454+429</f>
        <v>533533</v>
      </c>
      <c r="Q220" s="68">
        <v>2133</v>
      </c>
      <c r="R220" s="67">
        <f t="shared" si="398"/>
        <v>0.2171655467318265</v>
      </c>
      <c r="S220" s="40">
        <v>9822</v>
      </c>
      <c r="T220" s="3">
        <v>185</v>
      </c>
      <c r="U220" s="7">
        <f t="shared" si="399"/>
        <v>0.50684931506849318</v>
      </c>
      <c r="V220" s="44">
        <v>365</v>
      </c>
      <c r="W220" s="63">
        <f t="shared" si="400"/>
        <v>2479</v>
      </c>
      <c r="X220" s="7">
        <f t="shared" si="401"/>
        <v>4.5593320091223428E-3</v>
      </c>
      <c r="Y220" s="26">
        <f t="shared" si="402"/>
        <v>543720</v>
      </c>
      <c r="Z220" s="63">
        <v>1857</v>
      </c>
      <c r="AA220" s="13"/>
      <c r="AB220" s="13"/>
      <c r="AC220" s="42">
        <v>114</v>
      </c>
      <c r="AD220" s="13"/>
      <c r="AE220" s="43"/>
      <c r="AF220" s="13">
        <v>11</v>
      </c>
      <c r="AG220" s="13"/>
      <c r="AH220" s="44"/>
      <c r="AI220" s="41"/>
      <c r="AJ220" s="13"/>
      <c r="AK220" s="44"/>
      <c r="AL220" s="41"/>
      <c r="AM220" s="13"/>
      <c r="AN220" s="13"/>
      <c r="AO220" s="44"/>
      <c r="AP220" s="63">
        <v>4801</v>
      </c>
      <c r="AQ220" s="15"/>
      <c r="AR220" s="13"/>
      <c r="AS220" s="13"/>
      <c r="AT220" s="44"/>
      <c r="AU220" s="5"/>
      <c r="AV220" s="5"/>
      <c r="AW220" s="5"/>
      <c r="AX220" s="5"/>
    </row>
    <row r="221" spans="1:50" x14ac:dyDescent="0.15">
      <c r="A221" s="147">
        <v>37043</v>
      </c>
      <c r="B221" s="3">
        <v>70</v>
      </c>
      <c r="C221" s="13"/>
      <c r="D221" s="13"/>
      <c r="E221" s="57">
        <v>106</v>
      </c>
      <c r="F221" s="13"/>
      <c r="G221" s="43"/>
      <c r="H221" s="13">
        <v>14</v>
      </c>
      <c r="I221" s="13"/>
      <c r="J221" s="13"/>
      <c r="K221" s="41"/>
      <c r="L221" s="13"/>
      <c r="M221" s="44"/>
      <c r="N221" s="63">
        <v>153</v>
      </c>
      <c r="O221" s="67">
        <f t="shared" si="397"/>
        <v>2.8709750056293625E-4</v>
      </c>
      <c r="P221" s="3">
        <f>486353+46142+425</f>
        <v>532920</v>
      </c>
      <c r="Q221" s="68">
        <v>1562</v>
      </c>
      <c r="R221" s="67">
        <f t="shared" si="398"/>
        <v>0.15621562156215621</v>
      </c>
      <c r="S221" s="40">
        <v>9999</v>
      </c>
      <c r="T221" s="3">
        <v>180</v>
      </c>
      <c r="U221" s="7">
        <f t="shared" si="399"/>
        <v>0.48648648648648651</v>
      </c>
      <c r="V221" s="44">
        <v>370</v>
      </c>
      <c r="W221" s="63">
        <f t="shared" si="400"/>
        <v>1895</v>
      </c>
      <c r="X221" s="7">
        <f t="shared" si="401"/>
        <v>3.4880146662273669E-3</v>
      </c>
      <c r="Y221" s="26">
        <f t="shared" si="402"/>
        <v>543289</v>
      </c>
      <c r="Z221" s="63">
        <v>1875</v>
      </c>
      <c r="AA221" s="13"/>
      <c r="AB221" s="13"/>
      <c r="AC221" s="42">
        <v>114</v>
      </c>
      <c r="AD221" s="13"/>
      <c r="AE221" s="43"/>
      <c r="AF221" s="13">
        <v>11</v>
      </c>
      <c r="AG221" s="13"/>
      <c r="AH221" s="44"/>
      <c r="AI221" s="41"/>
      <c r="AJ221" s="13"/>
      <c r="AK221" s="44"/>
      <c r="AL221" s="41"/>
      <c r="AM221" s="13"/>
      <c r="AN221" s="13"/>
      <c r="AO221" s="44"/>
      <c r="AP221" s="63">
        <v>4653</v>
      </c>
      <c r="AQ221" s="15"/>
      <c r="AR221" s="13"/>
      <c r="AS221" s="13"/>
      <c r="AT221" s="44"/>
      <c r="AU221" s="5"/>
      <c r="AV221" s="5"/>
      <c r="AW221" s="5"/>
      <c r="AX221" s="5"/>
    </row>
    <row r="222" spans="1:50" x14ac:dyDescent="0.15">
      <c r="A222" s="147">
        <v>37012</v>
      </c>
      <c r="B222" s="3">
        <v>65</v>
      </c>
      <c r="C222" s="13"/>
      <c r="D222" s="13"/>
      <c r="E222" s="57">
        <v>109</v>
      </c>
      <c r="F222" s="13"/>
      <c r="G222" s="43"/>
      <c r="H222" s="13">
        <v>11</v>
      </c>
      <c r="I222" s="13"/>
      <c r="J222" s="13"/>
      <c r="K222" s="41"/>
      <c r="L222" s="13"/>
      <c r="M222" s="44"/>
      <c r="N222" s="63">
        <v>163</v>
      </c>
      <c r="O222" s="67">
        <f t="shared" si="397"/>
        <v>3.0597170418730725E-4</v>
      </c>
      <c r="P222" s="3">
        <f>486390+45913+426</f>
        <v>532729</v>
      </c>
      <c r="Q222" s="68">
        <v>1575</v>
      </c>
      <c r="R222" s="67">
        <f t="shared" si="398"/>
        <v>0.15710723192019951</v>
      </c>
      <c r="S222" s="40">
        <v>10025</v>
      </c>
      <c r="T222" s="3">
        <v>165</v>
      </c>
      <c r="U222" s="7">
        <f t="shared" si="399"/>
        <v>0.45081967213114754</v>
      </c>
      <c r="V222" s="44">
        <v>366</v>
      </c>
      <c r="W222" s="63">
        <f t="shared" si="400"/>
        <v>1903</v>
      </c>
      <c r="X222" s="7">
        <f t="shared" si="401"/>
        <v>3.5038297245544264E-3</v>
      </c>
      <c r="Y222" s="26">
        <f t="shared" si="402"/>
        <v>543120</v>
      </c>
      <c r="Z222" s="63">
        <v>1863</v>
      </c>
      <c r="AA222" s="13"/>
      <c r="AB222" s="13"/>
      <c r="AC222" s="42">
        <v>115</v>
      </c>
      <c r="AD222" s="13"/>
      <c r="AE222" s="43"/>
      <c r="AF222" s="13">
        <v>11</v>
      </c>
      <c r="AG222" s="13"/>
      <c r="AH222" s="44"/>
      <c r="AI222" s="41"/>
      <c r="AJ222" s="13"/>
      <c r="AK222" s="44"/>
      <c r="AL222" s="41"/>
      <c r="AM222" s="13"/>
      <c r="AN222" s="13"/>
      <c r="AO222" s="44"/>
      <c r="AP222" s="63">
        <v>4085</v>
      </c>
      <c r="AQ222" s="15"/>
      <c r="AR222" s="13"/>
      <c r="AS222" s="13"/>
      <c r="AT222" s="44"/>
      <c r="AU222" s="5"/>
      <c r="AV222" s="5"/>
      <c r="AW222" s="5"/>
      <c r="AX222" s="5"/>
    </row>
    <row r="223" spans="1:50" x14ac:dyDescent="0.15">
      <c r="A223" s="147">
        <v>36982</v>
      </c>
      <c r="B223" s="3">
        <v>62</v>
      </c>
      <c r="C223" s="13"/>
      <c r="D223" s="13"/>
      <c r="E223" s="57">
        <v>98</v>
      </c>
      <c r="F223" s="13"/>
      <c r="G223" s="43"/>
      <c r="H223" s="13">
        <v>7</v>
      </c>
      <c r="I223" s="13"/>
      <c r="J223" s="13"/>
      <c r="K223" s="41"/>
      <c r="L223" s="13"/>
      <c r="M223" s="44"/>
      <c r="N223" s="63">
        <v>163</v>
      </c>
      <c r="O223" s="67">
        <f t="shared" si="397"/>
        <v>3.0649294972199398E-4</v>
      </c>
      <c r="P223" s="3">
        <f>486283+45114+426</f>
        <v>531823</v>
      </c>
      <c r="Q223" s="68">
        <v>1527</v>
      </c>
      <c r="R223" s="67">
        <f t="shared" si="398"/>
        <v>0.14289724873666479</v>
      </c>
      <c r="S223" s="40">
        <v>10686</v>
      </c>
      <c r="T223" s="3">
        <v>164</v>
      </c>
      <c r="U223" s="7">
        <f t="shared" si="399"/>
        <v>0.44808743169398907</v>
      </c>
      <c r="V223" s="44">
        <v>366</v>
      </c>
      <c r="W223" s="63">
        <f t="shared" si="400"/>
        <v>1854</v>
      </c>
      <c r="X223" s="7">
        <f t="shared" si="401"/>
        <v>3.415150817407322E-3</v>
      </c>
      <c r="Y223" s="26">
        <f t="shared" si="402"/>
        <v>542875</v>
      </c>
      <c r="Z223" s="63">
        <v>1900</v>
      </c>
      <c r="AA223" s="13"/>
      <c r="AB223" s="13"/>
      <c r="AC223" s="42">
        <v>114</v>
      </c>
      <c r="AD223" s="13"/>
      <c r="AE223" s="43"/>
      <c r="AF223" s="13">
        <v>11</v>
      </c>
      <c r="AG223" s="13"/>
      <c r="AH223" s="44"/>
      <c r="AI223" s="41"/>
      <c r="AJ223" s="13"/>
      <c r="AK223" s="44"/>
      <c r="AL223" s="41"/>
      <c r="AM223" s="13"/>
      <c r="AN223" s="13"/>
      <c r="AO223" s="44"/>
      <c r="AP223" s="63">
        <v>4077</v>
      </c>
      <c r="AQ223" s="15"/>
      <c r="AR223" s="13"/>
      <c r="AS223" s="13"/>
      <c r="AT223" s="44"/>
      <c r="AU223" s="5"/>
      <c r="AV223" s="5"/>
      <c r="AW223" s="5"/>
      <c r="AX223" s="5"/>
    </row>
    <row r="224" spans="1:50" x14ac:dyDescent="0.15">
      <c r="A224" s="147">
        <v>36951</v>
      </c>
      <c r="B224" s="3">
        <v>42</v>
      </c>
      <c r="C224" s="13"/>
      <c r="D224" s="43"/>
      <c r="E224" s="57">
        <v>46</v>
      </c>
      <c r="F224" s="13"/>
      <c r="G224" s="43"/>
      <c r="H224" s="13">
        <v>6</v>
      </c>
      <c r="I224" s="13"/>
      <c r="J224" s="13"/>
      <c r="K224" s="41"/>
      <c r="L224" s="13"/>
      <c r="M224" s="44"/>
      <c r="N224" s="63">
        <v>142</v>
      </c>
      <c r="O224" s="67">
        <f t="shared" si="397"/>
        <v>2.6715280952569089E-4</v>
      </c>
      <c r="P224" s="3">
        <f>486080+45025+426</f>
        <v>531531</v>
      </c>
      <c r="Q224" s="68">
        <v>934</v>
      </c>
      <c r="R224" s="67">
        <f t="shared" si="398"/>
        <v>8.7159387831280327E-2</v>
      </c>
      <c r="S224" s="40">
        <v>10716</v>
      </c>
      <c r="T224" s="3">
        <v>122</v>
      </c>
      <c r="U224" s="7">
        <f t="shared" si="399"/>
        <v>0.45692883895131087</v>
      </c>
      <c r="V224" s="44">
        <v>267</v>
      </c>
      <c r="W224" s="63">
        <f t="shared" si="400"/>
        <v>1198</v>
      </c>
      <c r="X224" s="7">
        <f t="shared" si="401"/>
        <v>2.2082379440899222E-3</v>
      </c>
      <c r="Y224" s="26">
        <f t="shared" si="402"/>
        <v>542514</v>
      </c>
      <c r="Z224" s="63">
        <v>2022</v>
      </c>
      <c r="AA224" s="13"/>
      <c r="AB224" s="13"/>
      <c r="AC224" s="42">
        <v>114</v>
      </c>
      <c r="AD224" s="13"/>
      <c r="AE224" s="43"/>
      <c r="AF224" s="13">
        <v>11</v>
      </c>
      <c r="AG224" s="13"/>
      <c r="AH224" s="44"/>
      <c r="AI224" s="41"/>
      <c r="AJ224" s="13"/>
      <c r="AK224" s="44"/>
      <c r="AL224" s="41"/>
      <c r="AM224" s="13"/>
      <c r="AN224" s="13"/>
      <c r="AO224" s="44"/>
      <c r="AP224" s="63">
        <v>4046</v>
      </c>
      <c r="AQ224" s="15"/>
      <c r="AR224" s="13"/>
      <c r="AS224" s="13"/>
      <c r="AT224" s="44"/>
      <c r="AU224" s="5"/>
      <c r="AV224" s="5"/>
      <c r="AW224" s="5"/>
      <c r="AX224" s="5"/>
    </row>
    <row r="225" spans="1:50" x14ac:dyDescent="0.15">
      <c r="A225" s="147">
        <v>36923</v>
      </c>
      <c r="B225" s="3">
        <v>42</v>
      </c>
      <c r="C225" s="13"/>
      <c r="D225" s="13"/>
      <c r="E225" s="57">
        <v>46</v>
      </c>
      <c r="F225" s="13"/>
      <c r="G225" s="43"/>
      <c r="H225" s="13">
        <v>6</v>
      </c>
      <c r="I225" s="13"/>
      <c r="J225" s="13"/>
      <c r="K225" s="41"/>
      <c r="L225" s="13"/>
      <c r="M225" s="44"/>
      <c r="N225" s="63">
        <v>142</v>
      </c>
      <c r="O225" s="67">
        <f t="shared" si="397"/>
        <v>2.6731827063904129E-4</v>
      </c>
      <c r="P225" s="3">
        <f>485886+44893+423</f>
        <v>531202</v>
      </c>
      <c r="Q225" s="68">
        <v>949</v>
      </c>
      <c r="R225" s="67">
        <f t="shared" si="398"/>
        <v>8.8344814745857383E-2</v>
      </c>
      <c r="S225" s="40">
        <v>10742</v>
      </c>
      <c r="T225" s="3">
        <v>119</v>
      </c>
      <c r="U225" s="7">
        <f t="shared" si="399"/>
        <v>0.32692307692307693</v>
      </c>
      <c r="V225" s="44">
        <v>364</v>
      </c>
      <c r="W225" s="63">
        <f t="shared" si="400"/>
        <v>1210</v>
      </c>
      <c r="X225" s="7">
        <f t="shared" si="401"/>
        <v>2.2312044078272864E-3</v>
      </c>
      <c r="Y225" s="26">
        <f t="shared" si="402"/>
        <v>542308</v>
      </c>
      <c r="Z225" s="63">
        <v>2037</v>
      </c>
      <c r="AA225" s="13"/>
      <c r="AB225" s="13"/>
      <c r="AC225" s="42">
        <v>115</v>
      </c>
      <c r="AD225" s="13"/>
      <c r="AE225" s="43"/>
      <c r="AF225" s="13">
        <v>11</v>
      </c>
      <c r="AG225" s="13"/>
      <c r="AH225" s="44"/>
      <c r="AI225" s="41"/>
      <c r="AJ225" s="13"/>
      <c r="AK225" s="44"/>
      <c r="AL225" s="41"/>
      <c r="AM225" s="13"/>
      <c r="AN225" s="13"/>
      <c r="AO225" s="44"/>
      <c r="AP225" s="63">
        <v>3451</v>
      </c>
      <c r="AQ225" s="15"/>
      <c r="AR225" s="13"/>
      <c r="AS225" s="13"/>
      <c r="AT225" s="44"/>
      <c r="AU225" s="5"/>
      <c r="AV225" s="5"/>
      <c r="AW225" s="5"/>
      <c r="AX225" s="5"/>
    </row>
    <row r="226" spans="1:50" x14ac:dyDescent="0.15">
      <c r="A226" s="147">
        <v>36892</v>
      </c>
      <c r="B226" s="3">
        <v>42</v>
      </c>
      <c r="C226" s="13"/>
      <c r="D226" s="13"/>
      <c r="E226" s="57">
        <v>46</v>
      </c>
      <c r="F226" s="13"/>
      <c r="G226" s="43"/>
      <c r="H226" s="13">
        <v>6</v>
      </c>
      <c r="I226" s="13"/>
      <c r="J226" s="13"/>
      <c r="K226" s="41"/>
      <c r="L226" s="13"/>
      <c r="M226" s="44"/>
      <c r="N226" s="63">
        <v>137</v>
      </c>
      <c r="O226" s="67">
        <f t="shared" ref="O226:O233" si="403">N226/P226</f>
        <v>2.5822551946681142E-4</v>
      </c>
      <c r="P226" s="3">
        <f>485323+44803+418</f>
        <v>530544</v>
      </c>
      <c r="Q226" s="68">
        <v>945</v>
      </c>
      <c r="R226" s="67">
        <f t="shared" ref="R226:R233" si="404">Q226/S226</f>
        <v>8.8062622309197647E-2</v>
      </c>
      <c r="S226" s="40">
        <v>10731</v>
      </c>
      <c r="T226" s="3">
        <v>118</v>
      </c>
      <c r="U226" s="7">
        <f t="shared" ref="U226:U233" si="405">T226/V226</f>
        <v>0.32777777777777778</v>
      </c>
      <c r="V226" s="44">
        <v>360</v>
      </c>
      <c r="W226" s="63">
        <f t="shared" ref="W226:W233" si="406">+T226+Q226+N226</f>
        <v>1200</v>
      </c>
      <c r="X226" s="7">
        <f t="shared" ref="X226:X233" si="407">W226/Y226</f>
        <v>2.2155141377495917E-3</v>
      </c>
      <c r="Y226" s="26">
        <f t="shared" ref="Y226:Y233" si="408">+V226+S226+P226</f>
        <v>541635</v>
      </c>
      <c r="Z226" s="63">
        <v>1833</v>
      </c>
      <c r="AA226" s="13"/>
      <c r="AB226" s="13"/>
      <c r="AC226" s="42">
        <v>111</v>
      </c>
      <c r="AD226" s="13"/>
      <c r="AE226" s="43"/>
      <c r="AF226" s="13">
        <v>11</v>
      </c>
      <c r="AG226" s="13"/>
      <c r="AH226" s="44"/>
      <c r="AI226" s="41"/>
      <c r="AJ226" s="13"/>
      <c r="AK226" s="44"/>
      <c r="AL226" s="41"/>
      <c r="AM226" s="13"/>
      <c r="AN226" s="13"/>
      <c r="AO226" s="44"/>
      <c r="AP226" s="63">
        <v>3467</v>
      </c>
      <c r="AQ226" s="15"/>
      <c r="AR226" s="13"/>
      <c r="AS226" s="13"/>
      <c r="AT226" s="44"/>
      <c r="AU226" s="5"/>
      <c r="AV226" s="5"/>
      <c r="AW226" s="5"/>
      <c r="AX226" s="5"/>
    </row>
    <row r="227" spans="1:50" x14ac:dyDescent="0.15">
      <c r="A227" s="147">
        <v>36861</v>
      </c>
      <c r="B227" s="3">
        <v>37</v>
      </c>
      <c r="C227" s="13"/>
      <c r="D227" s="13"/>
      <c r="E227" s="57">
        <v>38</v>
      </c>
      <c r="F227" s="13"/>
      <c r="G227" s="43"/>
      <c r="H227" s="13">
        <v>7</v>
      </c>
      <c r="I227" s="13"/>
      <c r="J227" s="13"/>
      <c r="K227" s="41"/>
      <c r="L227" s="13"/>
      <c r="M227" s="44"/>
      <c r="N227" s="63">
        <v>129</v>
      </c>
      <c r="O227" s="67">
        <f t="shared" si="403"/>
        <v>2.4359431915387797E-4</v>
      </c>
      <c r="P227" s="3">
        <f>484489+44663+417</f>
        <v>529569</v>
      </c>
      <c r="Q227" s="68">
        <v>956</v>
      </c>
      <c r="R227" s="67">
        <f t="shared" si="404"/>
        <v>8.9187424200018656E-2</v>
      </c>
      <c r="S227" s="40">
        <v>10719</v>
      </c>
      <c r="T227" s="3">
        <v>126</v>
      </c>
      <c r="U227" s="7">
        <f t="shared" si="405"/>
        <v>0.34615384615384615</v>
      </c>
      <c r="V227" s="44">
        <v>364</v>
      </c>
      <c r="W227" s="63">
        <f t="shared" si="406"/>
        <v>1211</v>
      </c>
      <c r="X227" s="7">
        <f t="shared" si="407"/>
        <v>2.2398881350665493E-3</v>
      </c>
      <c r="Y227" s="26">
        <f t="shared" si="408"/>
        <v>540652</v>
      </c>
      <c r="Z227" s="63">
        <v>1680</v>
      </c>
      <c r="AA227" s="13"/>
      <c r="AB227" s="13"/>
      <c r="AC227" s="42">
        <v>111</v>
      </c>
      <c r="AD227" s="13"/>
      <c r="AE227" s="43"/>
      <c r="AF227" s="13">
        <v>11</v>
      </c>
      <c r="AG227" s="13"/>
      <c r="AH227" s="44"/>
      <c r="AI227" s="41"/>
      <c r="AJ227" s="13"/>
      <c r="AK227" s="44"/>
      <c r="AL227" s="41"/>
      <c r="AM227" s="13"/>
      <c r="AN227" s="13"/>
      <c r="AO227" s="44"/>
      <c r="AP227" s="63">
        <v>3252</v>
      </c>
      <c r="AQ227" s="15"/>
      <c r="AR227" s="13"/>
      <c r="AS227" s="13"/>
      <c r="AT227" s="44"/>
      <c r="AU227" s="5"/>
      <c r="AV227" s="5"/>
      <c r="AW227" s="5"/>
      <c r="AX227" s="5"/>
    </row>
    <row r="228" spans="1:50" x14ac:dyDescent="0.15">
      <c r="A228" s="147">
        <v>36831</v>
      </c>
      <c r="B228" s="3">
        <v>36</v>
      </c>
      <c r="C228" s="13"/>
      <c r="D228" s="43"/>
      <c r="E228" s="57">
        <v>38</v>
      </c>
      <c r="F228" s="13"/>
      <c r="G228" s="43"/>
      <c r="H228" s="13">
        <v>7</v>
      </c>
      <c r="I228" s="13"/>
      <c r="J228" s="13"/>
      <c r="K228" s="41"/>
      <c r="L228" s="13"/>
      <c r="M228" s="44"/>
      <c r="N228" s="63">
        <v>110</v>
      </c>
      <c r="O228" s="67">
        <f t="shared" si="403"/>
        <v>2.0827653064315794E-4</v>
      </c>
      <c r="P228" s="3">
        <f>483191+44538+415</f>
        <v>528144</v>
      </c>
      <c r="Q228" s="68">
        <v>957</v>
      </c>
      <c r="R228" s="67">
        <f t="shared" si="404"/>
        <v>8.8775510204081629E-2</v>
      </c>
      <c r="S228" s="40">
        <v>10780</v>
      </c>
      <c r="T228" s="3">
        <v>121</v>
      </c>
      <c r="U228" s="7">
        <f t="shared" si="405"/>
        <v>0.33333333333333331</v>
      </c>
      <c r="V228" s="44">
        <v>363</v>
      </c>
      <c r="W228" s="63">
        <f t="shared" si="406"/>
        <v>1188</v>
      </c>
      <c r="X228" s="7">
        <f t="shared" si="407"/>
        <v>2.202908655317113E-3</v>
      </c>
      <c r="Y228" s="26">
        <f t="shared" si="408"/>
        <v>539287</v>
      </c>
      <c r="Z228" s="63">
        <v>1644</v>
      </c>
      <c r="AA228" s="13"/>
      <c r="AB228" s="43"/>
      <c r="AC228" s="42">
        <v>110</v>
      </c>
      <c r="AD228" s="13"/>
      <c r="AE228" s="43"/>
      <c r="AF228" s="13">
        <v>11</v>
      </c>
      <c r="AG228" s="13"/>
      <c r="AH228" s="44"/>
      <c r="AI228" s="41"/>
      <c r="AJ228" s="13"/>
      <c r="AK228" s="44"/>
      <c r="AL228" s="41"/>
      <c r="AM228" s="13"/>
      <c r="AN228" s="13"/>
      <c r="AO228" s="44"/>
      <c r="AP228" s="63">
        <v>3089</v>
      </c>
      <c r="AQ228" s="15"/>
      <c r="AR228" s="13"/>
      <c r="AS228" s="13"/>
      <c r="AT228" s="44"/>
      <c r="AU228" s="5"/>
      <c r="AV228" s="5"/>
      <c r="AW228" s="5"/>
      <c r="AX228" s="5"/>
    </row>
    <row r="229" spans="1:50" x14ac:dyDescent="0.15">
      <c r="A229" s="147">
        <v>36800</v>
      </c>
      <c r="B229" s="3">
        <v>35</v>
      </c>
      <c r="C229" s="13"/>
      <c r="D229" s="43"/>
      <c r="E229" s="57">
        <v>39</v>
      </c>
      <c r="F229" s="13"/>
      <c r="G229" s="43"/>
      <c r="H229" s="13">
        <v>7</v>
      </c>
      <c r="I229" s="13"/>
      <c r="J229" s="13"/>
      <c r="K229" s="41"/>
      <c r="L229" s="13"/>
      <c r="M229" s="44"/>
      <c r="N229" s="63">
        <v>102</v>
      </c>
      <c r="O229" s="67">
        <f t="shared" si="403"/>
        <v>1.9318437933836245E-4</v>
      </c>
      <c r="P229" s="3">
        <f>483157+44423+413</f>
        <v>527993</v>
      </c>
      <c r="Q229" s="68">
        <v>808</v>
      </c>
      <c r="R229" s="67">
        <f t="shared" si="404"/>
        <v>7.4155653450807629E-2</v>
      </c>
      <c r="S229" s="40">
        <v>10896</v>
      </c>
      <c r="T229" s="3">
        <v>118</v>
      </c>
      <c r="U229" s="7">
        <f t="shared" si="405"/>
        <v>0.32506887052341599</v>
      </c>
      <c r="V229" s="44">
        <v>363</v>
      </c>
      <c r="W229" s="63">
        <f t="shared" si="406"/>
        <v>1028</v>
      </c>
      <c r="X229" s="7">
        <f t="shared" si="407"/>
        <v>1.9063443436463843E-3</v>
      </c>
      <c r="Y229" s="26">
        <f t="shared" si="408"/>
        <v>539252</v>
      </c>
      <c r="Z229" s="63">
        <v>1461</v>
      </c>
      <c r="AA229" s="13"/>
      <c r="AB229" s="43"/>
      <c r="AC229" s="42">
        <v>109</v>
      </c>
      <c r="AD229" s="13"/>
      <c r="AE229" s="43"/>
      <c r="AF229" s="13">
        <v>11</v>
      </c>
      <c r="AG229" s="13"/>
      <c r="AH229" s="44"/>
      <c r="AI229" s="41"/>
      <c r="AJ229" s="13"/>
      <c r="AK229" s="44"/>
      <c r="AL229" s="41"/>
      <c r="AM229" s="13"/>
      <c r="AN229" s="13"/>
      <c r="AO229" s="44"/>
      <c r="AP229" s="63">
        <v>3048</v>
      </c>
      <c r="AQ229" s="15"/>
      <c r="AR229" s="13"/>
      <c r="AS229" s="13"/>
      <c r="AT229" s="44"/>
      <c r="AU229" s="5"/>
      <c r="AV229" s="5"/>
      <c r="AW229" s="5"/>
      <c r="AX229" s="5"/>
    </row>
    <row r="230" spans="1:50" x14ac:dyDescent="0.15">
      <c r="A230" s="147">
        <v>36770</v>
      </c>
      <c r="B230" s="3"/>
      <c r="C230" s="13"/>
      <c r="D230" s="43"/>
      <c r="E230" s="57"/>
      <c r="F230" s="13"/>
      <c r="G230" s="43"/>
      <c r="H230" s="13"/>
      <c r="I230" s="13"/>
      <c r="J230" s="13"/>
      <c r="K230" s="41"/>
      <c r="L230" s="13"/>
      <c r="M230" s="44"/>
      <c r="N230" s="63">
        <v>40</v>
      </c>
      <c r="O230" s="67">
        <f t="shared" si="403"/>
        <v>7.5903344680883358E-5</v>
      </c>
      <c r="P230" s="3">
        <f>482511+44062+413</f>
        <v>526986</v>
      </c>
      <c r="Q230" s="68">
        <v>425</v>
      </c>
      <c r="R230" s="67">
        <f t="shared" si="404"/>
        <v>3.8041532402434658E-2</v>
      </c>
      <c r="S230" s="40">
        <v>11172</v>
      </c>
      <c r="T230" s="3">
        <v>98</v>
      </c>
      <c r="U230" s="7">
        <f t="shared" si="405"/>
        <v>0.26775956284153007</v>
      </c>
      <c r="V230" s="44">
        <v>366</v>
      </c>
      <c r="W230" s="63">
        <f t="shared" si="406"/>
        <v>563</v>
      </c>
      <c r="X230" s="7">
        <f t="shared" si="407"/>
        <v>1.0454501563532915E-3</v>
      </c>
      <c r="Y230" s="26">
        <f t="shared" si="408"/>
        <v>538524</v>
      </c>
      <c r="Z230" s="63"/>
      <c r="AA230" s="13"/>
      <c r="AB230" s="43"/>
      <c r="AC230" s="42"/>
      <c r="AD230" s="13"/>
      <c r="AE230" s="43"/>
      <c r="AF230" s="13"/>
      <c r="AG230" s="13"/>
      <c r="AH230" s="44"/>
      <c r="AI230" s="41"/>
      <c r="AJ230" s="13"/>
      <c r="AK230" s="44"/>
      <c r="AL230" s="41"/>
      <c r="AM230" s="13"/>
      <c r="AN230" s="13"/>
      <c r="AO230" s="44"/>
      <c r="AP230" s="63">
        <v>2694</v>
      </c>
      <c r="AQ230" s="15"/>
      <c r="AR230" s="13"/>
      <c r="AS230" s="13"/>
      <c r="AT230" s="44"/>
      <c r="AU230" s="5"/>
      <c r="AV230" s="5"/>
      <c r="AW230" s="5"/>
      <c r="AX230" s="5"/>
    </row>
    <row r="231" spans="1:50" x14ac:dyDescent="0.15">
      <c r="A231" s="147">
        <v>36739</v>
      </c>
      <c r="B231" s="3">
        <v>35</v>
      </c>
      <c r="C231" s="13"/>
      <c r="D231" s="43"/>
      <c r="E231" s="57">
        <v>29</v>
      </c>
      <c r="F231" s="13"/>
      <c r="G231" s="43"/>
      <c r="H231" s="13">
        <v>6</v>
      </c>
      <c r="I231" s="13"/>
      <c r="J231" s="13"/>
      <c r="K231" s="41"/>
      <c r="L231" s="13"/>
      <c r="M231" s="44"/>
      <c r="N231" s="63">
        <v>74</v>
      </c>
      <c r="O231" s="67">
        <f t="shared" si="403"/>
        <v>1.4066676044450696E-4</v>
      </c>
      <c r="P231" s="3">
        <f>481665+43988+413</f>
        <v>526066</v>
      </c>
      <c r="Q231" s="68">
        <v>420</v>
      </c>
      <c r="R231" s="67">
        <f t="shared" si="404"/>
        <v>3.7691824463788923E-2</v>
      </c>
      <c r="S231" s="40">
        <v>11143</v>
      </c>
      <c r="T231" s="3">
        <v>98</v>
      </c>
      <c r="U231" s="7">
        <f t="shared" si="405"/>
        <v>0.26630434782608697</v>
      </c>
      <c r="V231" s="44">
        <v>368</v>
      </c>
      <c r="W231" s="63">
        <f t="shared" si="406"/>
        <v>592</v>
      </c>
      <c r="X231" s="7">
        <f t="shared" si="407"/>
        <v>1.1012375901498762E-3</v>
      </c>
      <c r="Y231" s="26">
        <f t="shared" si="408"/>
        <v>537577</v>
      </c>
      <c r="Z231" s="63">
        <v>867</v>
      </c>
      <c r="AA231" s="13"/>
      <c r="AB231" s="43"/>
      <c r="AC231" s="42">
        <v>69</v>
      </c>
      <c r="AD231" s="13"/>
      <c r="AE231" s="43"/>
      <c r="AF231" s="13">
        <v>10</v>
      </c>
      <c r="AG231" s="13"/>
      <c r="AH231" s="44"/>
      <c r="AI231" s="41"/>
      <c r="AJ231" s="13"/>
      <c r="AK231" s="44"/>
      <c r="AL231" s="41"/>
      <c r="AM231" s="13"/>
      <c r="AN231" s="13"/>
      <c r="AO231" s="44"/>
      <c r="AP231" s="63">
        <v>1611</v>
      </c>
      <c r="AQ231" s="15"/>
      <c r="AR231" s="13"/>
      <c r="AS231" s="13"/>
      <c r="AT231" s="44"/>
      <c r="AU231" s="5"/>
      <c r="AV231" s="5"/>
      <c r="AW231" s="5"/>
      <c r="AX231" s="5"/>
    </row>
    <row r="232" spans="1:50" x14ac:dyDescent="0.15">
      <c r="A232" s="147">
        <v>36708</v>
      </c>
      <c r="B232" s="3"/>
      <c r="C232" s="13"/>
      <c r="D232" s="43"/>
      <c r="E232" s="52"/>
      <c r="F232" s="13"/>
      <c r="G232" s="43"/>
      <c r="H232" s="13"/>
      <c r="I232" s="13"/>
      <c r="J232" s="13"/>
      <c r="K232" s="41"/>
      <c r="L232" s="13"/>
      <c r="M232" s="44"/>
      <c r="N232" s="63">
        <v>70</v>
      </c>
      <c r="O232" s="67">
        <f t="shared" si="403"/>
        <v>1.3291206537754621E-4</v>
      </c>
      <c r="P232" s="3">
        <f>482344+43906+414</f>
        <v>526664</v>
      </c>
      <c r="Q232" s="68">
        <v>420</v>
      </c>
      <c r="R232" s="67">
        <f t="shared" si="404"/>
        <v>3.7678299093926615E-2</v>
      </c>
      <c r="S232" s="40">
        <v>11147</v>
      </c>
      <c r="T232" s="3">
        <v>102</v>
      </c>
      <c r="U232" s="7">
        <f t="shared" si="405"/>
        <v>0.27493261455525608</v>
      </c>
      <c r="V232" s="44">
        <v>371</v>
      </c>
      <c r="W232" s="63">
        <f t="shared" si="406"/>
        <v>592</v>
      </c>
      <c r="X232" s="7">
        <f t="shared" si="407"/>
        <v>1.0999996283785039E-3</v>
      </c>
      <c r="Y232" s="26">
        <f t="shared" si="408"/>
        <v>538182</v>
      </c>
      <c r="Z232" s="63">
        <v>536</v>
      </c>
      <c r="AA232" s="13"/>
      <c r="AB232" s="43"/>
      <c r="AC232" s="42">
        <v>63</v>
      </c>
      <c r="AD232" s="13"/>
      <c r="AE232" s="43"/>
      <c r="AF232" s="13">
        <v>3</v>
      </c>
      <c r="AG232" s="13"/>
      <c r="AH232" s="44"/>
      <c r="AI232" s="41"/>
      <c r="AJ232" s="13"/>
      <c r="AK232" s="44"/>
      <c r="AL232" s="41"/>
      <c r="AM232" s="13"/>
      <c r="AN232" s="13"/>
      <c r="AO232" s="44"/>
      <c r="AP232" s="63"/>
      <c r="AQ232" s="15"/>
      <c r="AR232" s="13"/>
      <c r="AS232" s="13"/>
      <c r="AT232" s="44"/>
      <c r="AU232" s="5"/>
      <c r="AV232" s="5"/>
      <c r="AW232" s="5"/>
      <c r="AX232" s="5"/>
    </row>
    <row r="233" spans="1:50" ht="14" thickBot="1" x14ac:dyDescent="0.2">
      <c r="A233" s="148">
        <v>36678</v>
      </c>
      <c r="B233" s="3"/>
      <c r="C233" s="55"/>
      <c r="D233" s="62"/>
      <c r="E233" s="145"/>
      <c r="F233" s="55"/>
      <c r="G233" s="62"/>
      <c r="H233" s="55"/>
      <c r="I233" s="55"/>
      <c r="J233" s="55"/>
      <c r="K233" s="54"/>
      <c r="L233" s="55"/>
      <c r="M233" s="56"/>
      <c r="N233" s="109">
        <v>61</v>
      </c>
      <c r="O233" s="112">
        <f t="shared" si="403"/>
        <v>1.1609229527789831E-4</v>
      </c>
      <c r="P233" s="113">
        <f>481289+43742+413</f>
        <v>525444</v>
      </c>
      <c r="Q233" s="114">
        <v>412</v>
      </c>
      <c r="R233" s="112">
        <f t="shared" si="404"/>
        <v>3.7073697471429856E-2</v>
      </c>
      <c r="S233" s="111">
        <v>11113</v>
      </c>
      <c r="T233" s="113">
        <v>99</v>
      </c>
      <c r="U233" s="108">
        <f t="shared" si="405"/>
        <v>0.26470588235294118</v>
      </c>
      <c r="V233" s="56">
        <v>374</v>
      </c>
      <c r="W233" s="109">
        <f t="shared" si="406"/>
        <v>572</v>
      </c>
      <c r="X233" s="108">
        <f t="shared" si="407"/>
        <v>1.0653137926474724E-3</v>
      </c>
      <c r="Y233" s="110">
        <f t="shared" si="408"/>
        <v>536931</v>
      </c>
      <c r="Z233" s="109"/>
      <c r="AA233" s="55"/>
      <c r="AB233" s="62"/>
      <c r="AC233" s="61"/>
      <c r="AD233" s="55"/>
      <c r="AE233" s="62"/>
      <c r="AF233" s="55"/>
      <c r="AG233" s="55"/>
      <c r="AH233" s="56"/>
      <c r="AI233" s="54"/>
      <c r="AJ233" s="55"/>
      <c r="AK233" s="56"/>
      <c r="AL233" s="54"/>
      <c r="AM233" s="55"/>
      <c r="AN233" s="55"/>
      <c r="AO233" s="56"/>
      <c r="AP233" s="109"/>
      <c r="AQ233" s="29"/>
      <c r="AR233" s="55"/>
      <c r="AS233" s="55"/>
      <c r="AT233" s="56"/>
      <c r="AU233" s="5"/>
      <c r="AV233" s="5"/>
      <c r="AW233" s="5"/>
      <c r="AX233" s="5"/>
    </row>
    <row r="234" spans="1:50" x14ac:dyDescent="0.15">
      <c r="G234" s="16"/>
      <c r="J234" s="16"/>
      <c r="K234" s="16"/>
      <c r="L234" s="16"/>
      <c r="M234" s="16"/>
    </row>
    <row r="235" spans="1:50" ht="16" x14ac:dyDescent="0.2">
      <c r="A235" s="152"/>
      <c r="B235" s="153"/>
      <c r="C235" s="153"/>
      <c r="D235" s="153"/>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c r="AA235" s="119"/>
      <c r="AB235" s="119"/>
      <c r="AC235" s="119"/>
      <c r="AD235" s="119"/>
      <c r="AE235" s="119"/>
      <c r="AF235" s="119"/>
      <c r="AG235" s="119"/>
      <c r="AH235" s="119"/>
      <c r="AI235" s="119"/>
      <c r="AJ235" s="119"/>
      <c r="AK235" s="119"/>
      <c r="AL235" s="119"/>
      <c r="AM235" s="119"/>
      <c r="AN235" s="119"/>
      <c r="AO235" s="119"/>
      <c r="AP235" s="119"/>
      <c r="AQ235" s="119"/>
      <c r="AR235" s="119"/>
      <c r="AS235" s="119"/>
    </row>
    <row r="236" spans="1:50" ht="16" x14ac:dyDescent="0.2">
      <c r="A236" s="153"/>
      <c r="B236" s="155"/>
      <c r="C236" s="155"/>
      <c r="D236" s="155"/>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c r="AE236" s="99"/>
      <c r="AF236" s="99"/>
      <c r="AG236" s="99"/>
      <c r="AH236" s="99"/>
      <c r="AI236" s="99"/>
      <c r="AJ236" s="99"/>
      <c r="AK236" s="99"/>
      <c r="AL236" s="99"/>
      <c r="AM236" s="99"/>
      <c r="AN236" s="99"/>
      <c r="AO236" s="99"/>
      <c r="AP236" s="99"/>
      <c r="AQ236" s="99"/>
      <c r="AR236" s="99"/>
      <c r="AS236" s="99"/>
    </row>
    <row r="237" spans="1:50" ht="16" x14ac:dyDescent="0.2">
      <c r="A237" s="151"/>
      <c r="B237" s="102"/>
      <c r="C237" s="102"/>
      <c r="D237" s="102"/>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c r="AE237" s="99"/>
      <c r="AF237" s="99"/>
      <c r="AG237" s="99"/>
      <c r="AH237" s="99"/>
      <c r="AI237" s="99"/>
      <c r="AJ237" s="99"/>
      <c r="AK237" s="99"/>
      <c r="AL237" s="99"/>
      <c r="AM237" s="99"/>
      <c r="AN237" s="99"/>
      <c r="AO237" s="99"/>
      <c r="AP237" s="99"/>
      <c r="AQ237" s="99"/>
      <c r="AR237" s="99"/>
      <c r="AS237" s="99"/>
    </row>
    <row r="238" spans="1:50" ht="16" x14ac:dyDescent="0.2">
      <c r="A238" s="151"/>
      <c r="B238" s="102"/>
      <c r="C238" s="102"/>
      <c r="D238" s="102"/>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c r="AE238" s="99"/>
      <c r="AF238" s="99"/>
      <c r="AG238" s="99"/>
      <c r="AH238" s="99"/>
      <c r="AI238" s="99"/>
      <c r="AJ238" s="99"/>
      <c r="AK238" s="99"/>
      <c r="AL238" s="99"/>
      <c r="AM238" s="99"/>
      <c r="AN238" s="99"/>
      <c r="AO238" s="99"/>
      <c r="AP238" s="99"/>
      <c r="AQ238" s="99"/>
      <c r="AR238" s="99"/>
      <c r="AS238" s="99"/>
    </row>
    <row r="239" spans="1:50" ht="16" x14ac:dyDescent="0.2">
      <c r="A239" s="150"/>
      <c r="B239" s="102"/>
      <c r="C239" s="102"/>
      <c r="D239" s="102"/>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c r="AE239" s="99"/>
      <c r="AF239" s="99"/>
      <c r="AG239" s="99"/>
      <c r="AH239" s="99"/>
      <c r="AI239" s="99"/>
      <c r="AJ239" s="99"/>
      <c r="AK239" s="99"/>
      <c r="AL239" s="99"/>
      <c r="AM239" s="99"/>
      <c r="AN239" s="99"/>
      <c r="AO239" s="99"/>
      <c r="AP239" s="99"/>
      <c r="AQ239" s="99"/>
      <c r="AR239" s="99"/>
      <c r="AS239" s="99"/>
    </row>
    <row r="240" spans="1:50" ht="16" x14ac:dyDescent="0.2">
      <c r="B240" s="98"/>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c r="AE240" s="99"/>
      <c r="AF240" s="99"/>
      <c r="AG240" s="99"/>
      <c r="AH240" s="99"/>
      <c r="AI240" s="99"/>
      <c r="AJ240" s="99"/>
      <c r="AK240" s="99"/>
      <c r="AL240" s="99"/>
      <c r="AM240" s="99"/>
      <c r="AN240" s="99"/>
      <c r="AO240" s="99"/>
      <c r="AP240" s="99"/>
      <c r="AQ240" s="99"/>
      <c r="AR240" s="99"/>
      <c r="AS240" s="99"/>
    </row>
  </sheetData>
  <mergeCells count="19">
    <mergeCell ref="T3:V3"/>
    <mergeCell ref="AL2:AT2"/>
    <mergeCell ref="AI3:AK3"/>
    <mergeCell ref="Z2:AK2"/>
    <mergeCell ref="Z3:AB3"/>
    <mergeCell ref="AC3:AE3"/>
    <mergeCell ref="AF3:AH3"/>
    <mergeCell ref="AQ3:AT3"/>
    <mergeCell ref="AL3:AO3"/>
    <mergeCell ref="A2:A4"/>
    <mergeCell ref="Q3:S3"/>
    <mergeCell ref="N3:P3"/>
    <mergeCell ref="K3:M3"/>
    <mergeCell ref="H3:J3"/>
    <mergeCell ref="E3:G3"/>
    <mergeCell ref="B3:D3"/>
    <mergeCell ref="B2:M2"/>
    <mergeCell ref="N2:Y2"/>
    <mergeCell ref="W3:Y3"/>
  </mergeCells>
  <phoneticPr fontId="3" type="noConversion"/>
  <pageMargins left="0.75" right="0.75" top="1" bottom="1" header="0.5" footer="0.5"/>
  <pageSetup scale="63" pageOrder="overThenDown" orientation="landscape"/>
  <headerFooter alignWithMargins="0"/>
  <colBreaks count="3" manualBreakCount="3">
    <brk id="13" max="1048575" man="1"/>
    <brk id="25" max="1048575" man="1"/>
    <brk id="37" max="1048575" man="1"/>
  </colBreaks>
  <ignoredErrors>
    <ignoredError sqref="L130:L166"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3</vt:i4>
      </vt:variant>
      <vt:variant>
        <vt:lpstr>Charts</vt:lpstr>
      </vt:variant>
      <vt:variant>
        <vt:i4>5</vt:i4>
      </vt:variant>
      <vt:variant>
        <vt:lpstr>Named Ranges</vt:lpstr>
      </vt:variant>
      <vt:variant>
        <vt:i4>1</vt:i4>
      </vt:variant>
    </vt:vector>
  </HeadingPairs>
  <TitlesOfParts>
    <vt:vector size="9" baseType="lpstr">
      <vt:lpstr>Class Definitions</vt:lpstr>
      <vt:lpstr>Load</vt:lpstr>
      <vt:lpstr>Customers</vt:lpstr>
      <vt:lpstr>EM-MPD - graph</vt:lpstr>
      <vt:lpstr>EM-BHD - graph</vt:lpstr>
      <vt:lpstr>CMP - graph</vt:lpstr>
      <vt:lpstr>State - graph</vt:lpstr>
      <vt:lpstr>Class - graph</vt:lpstr>
      <vt:lpstr>Customers!Print_Titles</vt:lpstr>
    </vt:vector>
  </TitlesOfParts>
  <Company>Maine Public Utilities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Lotte Schlegel</dc:creator>
  <cp:lastModifiedBy>Darren Fishell</cp:lastModifiedBy>
  <cp:lastPrinted>2016-09-19T19:00:55Z</cp:lastPrinted>
  <dcterms:created xsi:type="dcterms:W3CDTF">2007-03-19T19:38:53Z</dcterms:created>
  <dcterms:modified xsi:type="dcterms:W3CDTF">2019-08-11T19:43:03Z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{B4796284-75C0-4DE9-9749-E3FEBE74B608}</vt:lpwstr>
  </property>
</Properties>
</file>