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ate1904="1"/>
  <mc:AlternateContent xmlns:mc="http://schemas.openxmlformats.org/markup-compatibility/2006">
    <mc:Choice Requires="x15">
      <x15ac:absPath xmlns:x15ac="http://schemas.microsoft.com/office/spreadsheetml/2010/11/ac" url="C:\Users\Papa Pequena\Desktop\data\"/>
    </mc:Choice>
  </mc:AlternateContent>
  <xr:revisionPtr revIDLastSave="0" documentId="13_ncr:1_{F0A1057E-5CD7-4313-B1C8-871B745851F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  <sheet name="Ci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F3" i="1" l="1"/>
  <c r="M3" i="1" l="1"/>
  <c r="N3" i="1" s="1"/>
  <c r="M52" i="1"/>
  <c r="N52" i="1" s="1"/>
  <c r="M54" i="1"/>
  <c r="N54" i="1" s="1"/>
  <c r="M53" i="1"/>
  <c r="N53" i="1" s="1"/>
  <c r="F42" i="1"/>
  <c r="F43" i="1"/>
  <c r="F44" i="1"/>
  <c r="F46" i="1"/>
  <c r="O36" i="1"/>
  <c r="M51" i="1"/>
  <c r="N51" i="1" s="1"/>
  <c r="O40" i="1"/>
  <c r="O39" i="1"/>
  <c r="O38" i="1"/>
  <c r="O35" i="1"/>
  <c r="O32" i="1"/>
  <c r="M50" i="1"/>
  <c r="N50" i="1" s="1"/>
  <c r="F45" i="1"/>
  <c r="M49" i="1"/>
  <c r="N49" i="1" s="1"/>
  <c r="M48" i="1"/>
  <c r="N48" i="1" s="1"/>
  <c r="F37" i="1"/>
  <c r="M47" i="1"/>
  <c r="N47" i="1" s="1"/>
  <c r="M41" i="1"/>
  <c r="N41" i="1" s="1"/>
  <c r="F33" i="1"/>
  <c r="F34" i="1"/>
  <c r="F35" i="1"/>
  <c r="F36" i="1"/>
  <c r="F38" i="1"/>
  <c r="F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M22" i="1" s="1"/>
  <c r="N22" i="1" s="1"/>
  <c r="F23" i="1"/>
  <c r="F24" i="1"/>
  <c r="F25" i="1"/>
  <c r="F26" i="1"/>
  <c r="F27" i="1"/>
  <c r="F28" i="1"/>
  <c r="F29" i="1"/>
  <c r="F30" i="1"/>
  <c r="F31" i="1"/>
  <c r="F32" i="1"/>
  <c r="F2" i="1"/>
  <c r="M29" i="1" l="1"/>
  <c r="N29" i="1" s="1"/>
  <c r="M17" i="1"/>
  <c r="N17" i="1" s="1"/>
  <c r="M13" i="1"/>
  <c r="N13" i="1" s="1"/>
  <c r="M9" i="1"/>
  <c r="N9" i="1" s="1"/>
  <c r="M5" i="1"/>
  <c r="N5" i="1" s="1"/>
  <c r="M43" i="1"/>
  <c r="N43" i="1" s="1"/>
  <c r="M20" i="1"/>
  <c r="N20" i="1" s="1"/>
  <c r="M16" i="1"/>
  <c r="N16" i="1" s="1"/>
  <c r="M42" i="1"/>
  <c r="N42" i="1" s="1"/>
  <c r="M46" i="1"/>
  <c r="N46" i="1" s="1"/>
  <c r="M33" i="1"/>
  <c r="N33" i="1" s="1"/>
  <c r="M44" i="1"/>
  <c r="N44" i="1" s="1"/>
  <c r="M40" i="1"/>
  <c r="N40" i="1" s="1"/>
  <c r="M7" i="1"/>
  <c r="N7" i="1" s="1"/>
  <c r="M21" i="1"/>
  <c r="N21" i="1" s="1"/>
  <c r="M35" i="1"/>
  <c r="N35" i="1" s="1"/>
  <c r="M14" i="1"/>
  <c r="N14" i="1" s="1"/>
  <c r="M45" i="1"/>
  <c r="N45" i="1" s="1"/>
  <c r="M18" i="1"/>
  <c r="N18" i="1" s="1"/>
  <c r="M12" i="1"/>
  <c r="N12" i="1" s="1"/>
  <c r="M28" i="1"/>
  <c r="N28" i="1" s="1"/>
  <c r="M15" i="1"/>
  <c r="N15" i="1" s="1"/>
  <c r="M19" i="1"/>
  <c r="N19" i="1" s="1"/>
  <c r="M23" i="1"/>
  <c r="N23" i="1" s="1"/>
  <c r="M2" i="1"/>
  <c r="N2" i="1" s="1"/>
  <c r="M36" i="1"/>
  <c r="N36" i="1" s="1"/>
  <c r="M4" i="1"/>
  <c r="N4" i="1" s="1"/>
  <c r="M25" i="1"/>
  <c r="N25" i="1" s="1"/>
  <c r="M10" i="1"/>
  <c r="N10" i="1" s="1"/>
  <c r="M39" i="1"/>
  <c r="N39" i="1" s="1"/>
  <c r="M24" i="1"/>
  <c r="N24" i="1" s="1"/>
  <c r="M27" i="1"/>
  <c r="N27" i="1" s="1"/>
  <c r="M8" i="1"/>
  <c r="N8" i="1" s="1"/>
  <c r="M6" i="1"/>
  <c r="N6" i="1" s="1"/>
  <c r="M37" i="1"/>
  <c r="N37" i="1" s="1"/>
  <c r="M32" i="1"/>
  <c r="N32" i="1" s="1"/>
  <c r="M26" i="1"/>
  <c r="N26" i="1" s="1"/>
  <c r="M31" i="1"/>
  <c r="N31" i="1" s="1"/>
  <c r="M30" i="1"/>
  <c r="N30" i="1" s="1"/>
  <c r="M34" i="1"/>
  <c r="N34" i="1" s="1"/>
  <c r="M38" i="1"/>
  <c r="N38" i="1" s="1"/>
  <c r="M11" i="1"/>
  <c r="N11" i="1" s="1"/>
</calcChain>
</file>

<file path=xl/sharedStrings.xml><?xml version="1.0" encoding="utf-8"?>
<sst xmlns="http://schemas.openxmlformats.org/spreadsheetml/2006/main" count="46" uniqueCount="19">
  <si>
    <t>Neg.</t>
  </si>
  <si>
    <t>* All other includes rubber, leather, textiles and wood. Electrolytes in lead acid batteries are also included but may not be recycled.</t>
  </si>
  <si>
    <t>Source: U.S. EPA. Advancing Sustainable Materials Management: 2018 Tables and Figures. December 2020. Supporting information.</t>
  </si>
  <si>
    <t>Paper Generated (thousand tons)</t>
  </si>
  <si>
    <t>Paper Recycled/Composted (thousand tons)</t>
  </si>
  <si>
    <t>Year</t>
  </si>
  <si>
    <t>Glass Generated (thousand tons)</t>
  </si>
  <si>
    <t>Glass Recycled/Composted (thousand tons)</t>
  </si>
  <si>
    <t>Metals Generated (thousand tons)</t>
  </si>
  <si>
    <t>Metals Recycled/Composted (thousand tons)</t>
  </si>
  <si>
    <t>Plastics Recycled/Composted (thousand tons)</t>
  </si>
  <si>
    <t>Yard trimmings, Food waste Recycled/Composted (thousand tons)</t>
  </si>
  <si>
    <t>All others* Recycled/Composted (thousand tons)</t>
  </si>
  <si>
    <t>Total Recycled/Composted (thousand tons)</t>
  </si>
  <si>
    <t>Plastics Generated (thousand tons)</t>
  </si>
  <si>
    <t>Food Generated (thousand tons)</t>
  </si>
  <si>
    <t>Yard trimmings Generated (thousand tons)</t>
  </si>
  <si>
    <t>All other* Generated (thousand tons)</t>
  </si>
  <si>
    <t>Total Generated (thousand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</si>
</sst>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"/>
    <numFmt numFmtId="165" formatCode="#,##0.0"/>
    <numFmt numFmtId="166" formatCode="0.0"/>
  </numFmts>
  <fonts count="4">
    <font>
      <sz val="10"/>
      <name val="Geneva"/>
    </font>
    <font>
      <sz val="10"/>
      <name val="Arial"/>
      <family val="2"/>
    </font>
    <font>
      <i/>
      <sz val="10"/>
      <name val="Arial"/>
      <family val="2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3" fontId="1" fillId="0" borderId="0" xfId="0" applyNumberFormat="1" applyFont="1" applyFill="1"/>
    <xf numFmtId="3" fontId="1" fillId="0" borderId="0" xfId="0" applyNumberFormat="1" applyFont="1" applyFill="1" applyBorder="1"/>
    <xf numFmtId="166" fontId="1" fillId="0" borderId="0" xfId="0" applyNumberFormat="1" applyFont="1" applyFill="1" applyBorder="1"/>
    <xf numFmtId="3" fontId="2" fillId="0" borderId="0" xfId="0" applyNumberFormat="1" applyFont="1" applyFill="1" applyBorder="1" applyAlignment="1"/>
    <xf numFmtId="3" fontId="2" fillId="0" borderId="0" xfId="0" applyNumberFormat="1" applyFont="1" applyFill="1" applyBorder="1"/>
    <xf numFmtId="166" fontId="2" fillId="0" borderId="0" xfId="0" applyNumberFormat="1" applyFont="1" applyFill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3" fontId="1" fillId="0" borderId="0" xfId="0" applyNumberFormat="1" applyFont="1" applyBorder="1"/>
    <xf numFmtId="1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3" fontId="1" fillId="0" borderId="0" xfId="1" applyNumberFormat="1" applyFont="1"/>
    <xf numFmtId="3" fontId="1" fillId="0" borderId="0" xfId="1" applyNumberFormat="1" applyFont="1" applyFill="1"/>
    <xf numFmtId="3" fontId="1" fillId="0" borderId="0" xfId="1" applyNumberFormat="1" applyFont="1" applyFill="1" applyBorder="1"/>
    <xf numFmtId="3" fontId="1" fillId="0" borderId="0" xfId="1" applyNumberFormat="1" applyFont="1" applyBorder="1"/>
    <xf numFmtId="3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/>
    <xf numFmtId="1" fontId="1" fillId="2" borderId="0" xfId="0" applyNumberFormat="1" applyFont="1" applyFill="1"/>
    <xf numFmtId="3" fontId="1" fillId="2" borderId="0" xfId="0" applyNumberFormat="1" applyFont="1" applyFill="1" applyBorder="1"/>
    <xf numFmtId="165" fontId="1" fillId="0" borderId="0" xfId="0" applyNumberFormat="1" applyFont="1" applyFill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tabSelected="1" zoomScaleNormal="100" workbookViewId="0">
      <selection activeCell="K1" sqref="K1:K1048576"/>
    </sheetView>
  </sheetViews>
  <sheetFormatPr defaultColWidth="10.7109375" defaultRowHeight="12.75"/>
  <cols>
    <col min="1" max="2" width="6.7109375" style="8" customWidth="1"/>
    <col min="3" max="3" width="6.7109375" style="9" customWidth="1"/>
    <col min="4" max="4" width="6.7109375" style="8" customWidth="1"/>
    <col min="5" max="5" width="10.7109375" style="9"/>
    <col min="6" max="6" width="6.7109375" style="8" customWidth="1"/>
    <col min="7" max="7" width="10.42578125" style="9" customWidth="1"/>
    <col min="8" max="8" width="11.140625" style="8" customWidth="1"/>
    <col min="9" max="9" width="10.7109375" style="9"/>
    <col min="10" max="10" width="6.7109375" style="31" customWidth="1"/>
    <col min="11" max="11" width="9" style="8" customWidth="1"/>
    <col min="12" max="12" width="10.7109375" style="9"/>
    <col min="13" max="13" width="7.5703125" style="8" customWidth="1"/>
    <col min="14" max="14" width="10.7109375" style="9"/>
    <col min="15" max="15" width="7.5703125" style="8" customWidth="1"/>
    <col min="16" max="16384" width="10.7109375" style="9"/>
  </cols>
  <sheetData>
    <row r="1" spans="1:16" s="25" customFormat="1" ht="102">
      <c r="A1" s="24" t="s">
        <v>5</v>
      </c>
      <c r="B1" s="18" t="s">
        <v>3</v>
      </c>
      <c r="C1" s="17" t="s">
        <v>4</v>
      </c>
      <c r="D1" s="18" t="s">
        <v>6</v>
      </c>
      <c r="E1" s="17" t="s">
        <v>7</v>
      </c>
      <c r="F1" s="18" t="s">
        <v>8</v>
      </c>
      <c r="G1" s="17" t="s">
        <v>9</v>
      </c>
      <c r="H1" s="18" t="s">
        <v>14</v>
      </c>
      <c r="I1" s="17" t="s">
        <v>10</v>
      </c>
      <c r="J1" s="27" t="s">
        <v>15</v>
      </c>
      <c r="K1" s="18" t="s">
        <v>16</v>
      </c>
      <c r="L1" s="17" t="s">
        <v>11</v>
      </c>
      <c r="M1" s="18" t="s">
        <v>17</v>
      </c>
      <c r="N1" s="26" t="s">
        <v>12</v>
      </c>
      <c r="O1" s="18" t="s">
        <v>18</v>
      </c>
      <c r="P1" s="26" t="s">
        <v>13</v>
      </c>
    </row>
    <row r="2" spans="1:16">
      <c r="A2" s="7">
        <v>20454</v>
      </c>
      <c r="B2" s="10">
        <v>29985</v>
      </c>
      <c r="C2" s="10">
        <v>5078</v>
      </c>
      <c r="D2" s="10">
        <v>6721</v>
      </c>
      <c r="E2" s="10">
        <v>100</v>
      </c>
      <c r="F2" s="10">
        <f>10302+342+174</f>
        <v>10818</v>
      </c>
      <c r="G2" s="10">
        <v>50</v>
      </c>
      <c r="H2" s="10">
        <v>391</v>
      </c>
      <c r="I2" s="10">
        <v>0</v>
      </c>
      <c r="J2" s="28">
        <v>12200</v>
      </c>
      <c r="K2" s="10">
        <v>20000</v>
      </c>
      <c r="L2" s="23" t="s">
        <v>0</v>
      </c>
      <c r="M2" s="10">
        <f>O2-(B2+D2+F2+H2+J2+K2)</f>
        <v>8002</v>
      </c>
      <c r="N2" s="2">
        <f>O2-SUM(J2:M2)</f>
        <v>47915</v>
      </c>
      <c r="O2" s="10">
        <v>88117</v>
      </c>
      <c r="P2" s="10">
        <v>5610</v>
      </c>
    </row>
    <row r="3" spans="1:16">
      <c r="A3" s="7">
        <v>20820</v>
      </c>
      <c r="B3" s="10">
        <v>30943</v>
      </c>
      <c r="C3" s="10">
        <v>5100</v>
      </c>
      <c r="D3" s="10">
        <v>7050</v>
      </c>
      <c r="E3" s="10">
        <v>100</v>
      </c>
      <c r="F3" s="10">
        <f>10562+353+179</f>
        <v>11094</v>
      </c>
      <c r="G3" s="10">
        <f>30+24</f>
        <v>54</v>
      </c>
      <c r="H3" s="10">
        <v>583</v>
      </c>
      <c r="I3" s="10">
        <v>0</v>
      </c>
      <c r="J3" s="28">
        <v>12500</v>
      </c>
      <c r="K3" s="10">
        <v>20500</v>
      </c>
      <c r="L3" s="23" t="s">
        <v>0</v>
      </c>
      <c r="M3" s="10">
        <f>O3-(B3+D3+F3+H3+J3+K3)</f>
        <v>8382</v>
      </c>
      <c r="N3" s="2">
        <f>O3-SUM(J3:M3)</f>
        <v>49670</v>
      </c>
      <c r="O3" s="10">
        <v>91052</v>
      </c>
      <c r="P3" s="10">
        <v>5610</v>
      </c>
    </row>
    <row r="4" spans="1:16">
      <c r="A4" s="7">
        <v>21185</v>
      </c>
      <c r="B4" s="10">
        <v>32538</v>
      </c>
      <c r="C4" s="10">
        <v>4920</v>
      </c>
      <c r="D4" s="10">
        <v>7400</v>
      </c>
      <c r="E4" s="10">
        <v>100</v>
      </c>
      <c r="F4" s="10">
        <f>10520+367+182</f>
        <v>11069</v>
      </c>
      <c r="G4" s="10">
        <f>30+28</f>
        <v>58</v>
      </c>
      <c r="H4" s="10">
        <v>772</v>
      </c>
      <c r="I4" s="10">
        <v>0</v>
      </c>
      <c r="J4" s="28">
        <v>12600</v>
      </c>
      <c r="K4" s="10">
        <v>20800</v>
      </c>
      <c r="L4" s="23" t="s">
        <v>0</v>
      </c>
      <c r="M4" s="10">
        <f>O4-(B4+D4+F4+H4+J4+K4)</f>
        <v>8348</v>
      </c>
      <c r="N4" s="2">
        <f>O4-SUM(J4:M4)</f>
        <v>51779</v>
      </c>
      <c r="O4" s="10">
        <v>93527</v>
      </c>
      <c r="P4" s="10">
        <v>5440</v>
      </c>
    </row>
    <row r="5" spans="1:16">
      <c r="A5" s="7">
        <v>21550</v>
      </c>
      <c r="B5" s="10">
        <v>33631</v>
      </c>
      <c r="C5" s="10">
        <v>5295</v>
      </c>
      <c r="D5" s="10">
        <v>7713</v>
      </c>
      <c r="E5" s="10">
        <v>100</v>
      </c>
      <c r="F5" s="10">
        <f>10281+394+186</f>
        <v>10861</v>
      </c>
      <c r="G5" s="10">
        <f>30+32</f>
        <v>62</v>
      </c>
      <c r="H5" s="10">
        <v>979</v>
      </c>
      <c r="I5" s="10">
        <v>0</v>
      </c>
      <c r="J5" s="28">
        <v>12700</v>
      </c>
      <c r="K5" s="10">
        <v>21200</v>
      </c>
      <c r="L5" s="23" t="s">
        <v>0</v>
      </c>
      <c r="M5" s="10">
        <f>O5-(B5+D5+F5+H5+J5+K5)</f>
        <v>8464</v>
      </c>
      <c r="N5" s="2">
        <f>O5-SUM(J5:M5)</f>
        <v>53184</v>
      </c>
      <c r="O5" s="10">
        <v>95548</v>
      </c>
      <c r="P5" s="10">
        <v>5820</v>
      </c>
    </row>
    <row r="6" spans="1:16">
      <c r="A6" s="7">
        <v>21915</v>
      </c>
      <c r="B6" s="10">
        <v>35767</v>
      </c>
      <c r="C6" s="10">
        <v>5245</v>
      </c>
      <c r="D6" s="10">
        <v>8247</v>
      </c>
      <c r="E6" s="10">
        <v>100</v>
      </c>
      <c r="F6" s="10">
        <f>10875+447+539</f>
        <v>11861</v>
      </c>
      <c r="G6" s="10">
        <f>30+36+281</f>
        <v>347</v>
      </c>
      <c r="H6" s="10">
        <v>1227</v>
      </c>
      <c r="I6" s="10">
        <v>0</v>
      </c>
      <c r="J6" s="28">
        <v>12700</v>
      </c>
      <c r="K6" s="10">
        <v>21400</v>
      </c>
      <c r="L6" s="23" t="s">
        <v>0</v>
      </c>
      <c r="M6" s="10">
        <f>O6-(B6+D6+F6+H6+J6+K6)</f>
        <v>9243</v>
      </c>
      <c r="N6" s="2">
        <f>O6-SUM(J6:M6)</f>
        <v>57102</v>
      </c>
      <c r="O6" s="10">
        <v>100445</v>
      </c>
      <c r="P6" s="10">
        <v>6320</v>
      </c>
    </row>
    <row r="7" spans="1:16">
      <c r="A7" s="7">
        <v>22281</v>
      </c>
      <c r="B7" s="10">
        <v>38145</v>
      </c>
      <c r="C7" s="10">
        <v>5336</v>
      </c>
      <c r="D7" s="10">
        <v>8725</v>
      </c>
      <c r="E7" s="10">
        <v>100</v>
      </c>
      <c r="F7" s="10">
        <f>11115+492+551</f>
        <v>12158</v>
      </c>
      <c r="G7" s="10">
        <f>100+301</f>
        <v>401</v>
      </c>
      <c r="H7" s="10">
        <v>1484</v>
      </c>
      <c r="I7" s="10">
        <v>0</v>
      </c>
      <c r="J7" s="28">
        <v>12700</v>
      </c>
      <c r="K7" s="10">
        <v>21600</v>
      </c>
      <c r="L7" s="23" t="s">
        <v>0</v>
      </c>
      <c r="M7" s="10">
        <f>O7-(B7+D7+F7+H7+J7+K7)</f>
        <v>9559</v>
      </c>
      <c r="N7" s="2">
        <f>O7-SUM(J7:M7)</f>
        <v>60512</v>
      </c>
      <c r="O7" s="10">
        <v>104371</v>
      </c>
      <c r="P7" s="10">
        <v>6490</v>
      </c>
    </row>
    <row r="8" spans="1:16">
      <c r="A8" s="7">
        <v>22646</v>
      </c>
      <c r="B8" s="10">
        <v>41662</v>
      </c>
      <c r="C8" s="10">
        <v>5405</v>
      </c>
      <c r="D8" s="10">
        <v>9210</v>
      </c>
      <c r="E8" s="10">
        <v>100</v>
      </c>
      <c r="F8" s="10">
        <f>11561+532+593</f>
        <v>12686</v>
      </c>
      <c r="G8" s="10">
        <f>60+44+256</f>
        <v>360</v>
      </c>
      <c r="H8" s="10">
        <v>1729</v>
      </c>
      <c r="I8" s="10">
        <v>0</v>
      </c>
      <c r="J8" s="28">
        <v>12700</v>
      </c>
      <c r="K8" s="10">
        <v>21800</v>
      </c>
      <c r="L8" s="23" t="s">
        <v>0</v>
      </c>
      <c r="M8" s="10">
        <f>O8-(B8+D8+F8+H8+J8+K8)</f>
        <v>9877</v>
      </c>
      <c r="N8" s="2">
        <f>O8-SUM(J8:M8)</f>
        <v>65287</v>
      </c>
      <c r="O8" s="10">
        <v>109664</v>
      </c>
      <c r="P8" s="10">
        <v>6470</v>
      </c>
    </row>
    <row r="9" spans="1:16">
      <c r="A9" s="7">
        <v>23011</v>
      </c>
      <c r="B9" s="10">
        <v>41384</v>
      </c>
      <c r="C9" s="10">
        <v>4972</v>
      </c>
      <c r="D9" s="10">
        <v>10308</v>
      </c>
      <c r="E9" s="10">
        <v>100</v>
      </c>
      <c r="F9" s="10">
        <f>11681+595+608</f>
        <v>12884</v>
      </c>
      <c r="G9" s="10">
        <f>60+49+275</f>
        <v>384</v>
      </c>
      <c r="H9" s="10">
        <v>1878</v>
      </c>
      <c r="I9" s="10">
        <v>0</v>
      </c>
      <c r="J9" s="28">
        <v>12700</v>
      </c>
      <c r="K9" s="10">
        <v>22000</v>
      </c>
      <c r="L9" s="23" t="s">
        <v>0</v>
      </c>
      <c r="M9" s="10">
        <f>O9-(B9+D9+F9+H9+J9+K9)</f>
        <v>10201</v>
      </c>
      <c r="N9" s="2">
        <f>O9-SUM(J9:M9)</f>
        <v>66454</v>
      </c>
      <c r="O9" s="10">
        <v>111355</v>
      </c>
      <c r="P9" s="10">
        <v>6060</v>
      </c>
    </row>
    <row r="10" spans="1:16">
      <c r="A10" s="7">
        <v>23376</v>
      </c>
      <c r="B10" s="10">
        <v>42870</v>
      </c>
      <c r="C10" s="10">
        <v>5246</v>
      </c>
      <c r="D10" s="10">
        <v>10166</v>
      </c>
      <c r="E10" s="10">
        <v>100</v>
      </c>
      <c r="F10" s="10">
        <f>11867+660+591</f>
        <v>13118</v>
      </c>
      <c r="G10" s="10">
        <f>60+54+285</f>
        <v>399</v>
      </c>
      <c r="H10" s="10">
        <v>2149</v>
      </c>
      <c r="I10" s="10">
        <v>0</v>
      </c>
      <c r="J10" s="28">
        <v>12700</v>
      </c>
      <c r="K10" s="10">
        <v>22400</v>
      </c>
      <c r="L10" s="23" t="s">
        <v>0</v>
      </c>
      <c r="M10" s="10">
        <f>O10-(B10+D10+F10+H10+J10+K10)</f>
        <v>10498</v>
      </c>
      <c r="N10" s="2">
        <f>O10-SUM(J10:M10)</f>
        <v>68303</v>
      </c>
      <c r="O10" s="10">
        <v>113901</v>
      </c>
      <c r="P10" s="10">
        <v>6370</v>
      </c>
    </row>
    <row r="11" spans="1:16">
      <c r="A11" s="7">
        <v>23742</v>
      </c>
      <c r="B11" s="10">
        <v>45417</v>
      </c>
      <c r="C11" s="10">
        <v>6632</v>
      </c>
      <c r="D11" s="10">
        <v>11757</v>
      </c>
      <c r="E11" s="10">
        <v>100</v>
      </c>
      <c r="F11" s="10">
        <f>12476+742+632</f>
        <v>13850</v>
      </c>
      <c r="G11" s="10">
        <f>60+59+305</f>
        <v>424</v>
      </c>
      <c r="H11" s="10">
        <v>2423</v>
      </c>
      <c r="I11" s="10">
        <v>0</v>
      </c>
      <c r="J11" s="28">
        <v>12700</v>
      </c>
      <c r="K11" s="10">
        <v>22900</v>
      </c>
      <c r="L11" s="23" t="s">
        <v>0</v>
      </c>
      <c r="M11" s="10">
        <f>O11-(B11+D11+F11+H11+J11+K11)</f>
        <v>10766</v>
      </c>
      <c r="N11" s="2">
        <f>O11-SUM(J11:M11)</f>
        <v>73447</v>
      </c>
      <c r="O11" s="10">
        <v>119813</v>
      </c>
      <c r="P11" s="10">
        <v>7780</v>
      </c>
    </row>
    <row r="12" spans="1:16">
      <c r="A12" s="7">
        <v>24107</v>
      </c>
      <c r="B12" s="10">
        <v>44312</v>
      </c>
      <c r="C12" s="10">
        <v>6775</v>
      </c>
      <c r="D12" s="10">
        <v>12735</v>
      </c>
      <c r="E12" s="10">
        <v>157</v>
      </c>
      <c r="F12" s="10">
        <f>12357+802+674</f>
        <v>13833</v>
      </c>
      <c r="G12" s="10">
        <f>150+5+325</f>
        <v>480</v>
      </c>
      <c r="H12" s="10">
        <v>2904</v>
      </c>
      <c r="I12" s="10">
        <v>0</v>
      </c>
      <c r="J12" s="28">
        <v>12800</v>
      </c>
      <c r="K12" s="10">
        <v>23200</v>
      </c>
      <c r="L12" s="23" t="s">
        <v>0</v>
      </c>
      <c r="M12" s="10">
        <f>O12-(B12+D12+F12+H12+J12+K12)</f>
        <v>11279</v>
      </c>
      <c r="N12" s="2">
        <f>O12-SUM(J12:M12)</f>
        <v>73784</v>
      </c>
      <c r="O12" s="10">
        <v>121063</v>
      </c>
      <c r="P12" s="10">
        <v>8020</v>
      </c>
    </row>
    <row r="13" spans="1:16">
      <c r="A13" s="7">
        <v>24472</v>
      </c>
      <c r="B13" s="10">
        <v>45172</v>
      </c>
      <c r="C13" s="10">
        <v>6974</v>
      </c>
      <c r="D13" s="10">
        <v>12612</v>
      </c>
      <c r="E13" s="10">
        <v>221</v>
      </c>
      <c r="F13" s="10">
        <f>12252+863+675</f>
        <v>13790</v>
      </c>
      <c r="G13" s="10">
        <f>76+14+306</f>
        <v>396</v>
      </c>
      <c r="H13" s="10">
        <v>3102</v>
      </c>
      <c r="I13" s="10">
        <v>0</v>
      </c>
      <c r="J13" s="28">
        <v>12800</v>
      </c>
      <c r="K13" s="10">
        <v>23400</v>
      </c>
      <c r="L13" s="23" t="s">
        <v>0</v>
      </c>
      <c r="M13" s="10">
        <f>O13-(B13+D13+F13+H13+J13+K13)</f>
        <v>11892</v>
      </c>
      <c r="N13" s="2">
        <f>O13-SUM(J13:M13)</f>
        <v>74676</v>
      </c>
      <c r="O13" s="10">
        <v>122768</v>
      </c>
      <c r="P13" s="10">
        <v>8270</v>
      </c>
    </row>
    <row r="14" spans="1:16">
      <c r="A14" s="7">
        <v>24837</v>
      </c>
      <c r="B14" s="10">
        <v>48845</v>
      </c>
      <c r="C14" s="10">
        <v>7338</v>
      </c>
      <c r="D14" s="10">
        <v>13438</v>
      </c>
      <c r="E14" s="10">
        <v>273</v>
      </c>
      <c r="F14" s="10">
        <f>12432+922+750</f>
        <v>14104</v>
      </c>
      <c r="G14" s="10">
        <f>87+28+335</f>
        <v>450</v>
      </c>
      <c r="H14" s="10">
        <v>3657</v>
      </c>
      <c r="I14" s="10">
        <v>0</v>
      </c>
      <c r="J14" s="28">
        <v>13100</v>
      </c>
      <c r="K14" s="10">
        <v>24000</v>
      </c>
      <c r="L14" s="23" t="s">
        <v>0</v>
      </c>
      <c r="M14" s="10">
        <f>O14-(B14+D14+F14+H14+J14+K14)</f>
        <v>12295</v>
      </c>
      <c r="N14" s="2">
        <f>O14-SUM(J14:M14)</f>
        <v>80044</v>
      </c>
      <c r="O14" s="10">
        <v>129439</v>
      </c>
      <c r="P14" s="10">
        <v>8750</v>
      </c>
    </row>
    <row r="15" spans="1:16">
      <c r="A15" s="7">
        <v>25203</v>
      </c>
      <c r="B15" s="10">
        <v>51659</v>
      </c>
      <c r="C15" s="10">
        <v>8471</v>
      </c>
      <c r="D15" s="10">
        <v>13668</v>
      </c>
      <c r="E15" s="10">
        <v>305</v>
      </c>
      <c r="F15" s="10">
        <f>12501+1018+789</f>
        <v>14308</v>
      </c>
      <c r="G15" s="10">
        <f>98+35+353</f>
        <v>486</v>
      </c>
      <c r="H15" s="10">
        <v>4000</v>
      </c>
      <c r="I15" s="10">
        <v>0</v>
      </c>
      <c r="J15" s="28">
        <v>13200</v>
      </c>
      <c r="K15" s="10">
        <v>24800</v>
      </c>
      <c r="L15" s="23" t="s">
        <v>0</v>
      </c>
      <c r="M15" s="10">
        <f>O15-(B15+D15+F15+H15+J15+K15)</f>
        <v>13036</v>
      </c>
      <c r="N15" s="2">
        <f>O15-SUM(J15:M15)</f>
        <v>83635</v>
      </c>
      <c r="O15" s="10">
        <v>134671</v>
      </c>
      <c r="P15" s="10">
        <v>9950</v>
      </c>
    </row>
    <row r="16" spans="1:16">
      <c r="A16" s="7">
        <v>25568</v>
      </c>
      <c r="B16" s="10">
        <v>51063</v>
      </c>
      <c r="C16" s="10">
        <v>9134</v>
      </c>
      <c r="D16" s="10">
        <v>13419</v>
      </c>
      <c r="E16" s="10">
        <v>324</v>
      </c>
      <c r="F16" s="10">
        <f>12502+1073+827</f>
        <v>14402</v>
      </c>
      <c r="G16" s="10">
        <f>109+55+415</f>
        <v>579</v>
      </c>
      <c r="H16" s="10">
        <v>4361</v>
      </c>
      <c r="I16" s="10">
        <v>0</v>
      </c>
      <c r="J16" s="28">
        <v>13300</v>
      </c>
      <c r="K16" s="10">
        <v>25000</v>
      </c>
      <c r="L16" s="23" t="s">
        <v>0</v>
      </c>
      <c r="M16" s="10">
        <f>O16-(B16+D16+F16+H16+J16+K16)</f>
        <v>13539</v>
      </c>
      <c r="N16" s="2">
        <f>O16-SUM(J16:M16)</f>
        <v>83245</v>
      </c>
      <c r="O16" s="10">
        <v>135084</v>
      </c>
      <c r="P16" s="10">
        <v>10760</v>
      </c>
    </row>
    <row r="17" spans="1:16">
      <c r="A17" s="7">
        <v>25933</v>
      </c>
      <c r="B17" s="10">
        <v>43188</v>
      </c>
      <c r="C17" s="10">
        <v>7555</v>
      </c>
      <c r="D17" s="10">
        <v>13573</v>
      </c>
      <c r="E17" s="10">
        <v>368</v>
      </c>
      <c r="F17" s="10">
        <f>12264+1081+907</f>
        <v>14252</v>
      </c>
      <c r="G17" s="10">
        <f>238+96+401</f>
        <v>735</v>
      </c>
      <c r="H17" s="10">
        <v>4335</v>
      </c>
      <c r="I17" s="10">
        <v>0</v>
      </c>
      <c r="J17" s="28">
        <v>13400</v>
      </c>
      <c r="K17" s="10">
        <v>25200</v>
      </c>
      <c r="L17" s="23" t="s">
        <v>0</v>
      </c>
      <c r="M17" s="10">
        <f>O17-(B17+D17+F17+H17+J17+K17)</f>
        <v>13850</v>
      </c>
      <c r="N17" s="2">
        <f>O17-SUM(J17:M17)</f>
        <v>75348</v>
      </c>
      <c r="O17" s="10">
        <v>127798</v>
      </c>
      <c r="P17" s="10">
        <v>9260</v>
      </c>
    </row>
    <row r="18" spans="1:16">
      <c r="A18" s="7">
        <v>26298</v>
      </c>
      <c r="B18" s="10">
        <v>49791</v>
      </c>
      <c r="C18" s="10">
        <v>9076</v>
      </c>
      <c r="D18" s="10">
        <v>14038</v>
      </c>
      <c r="E18" s="10">
        <v>478</v>
      </c>
      <c r="F18" s="10">
        <f>12333+1224+991</f>
        <v>14548</v>
      </c>
      <c r="G18" s="10">
        <f>108+114+444</f>
        <v>666</v>
      </c>
      <c r="H18" s="10">
        <v>4944</v>
      </c>
      <c r="I18" s="10">
        <v>0</v>
      </c>
      <c r="J18" s="28">
        <v>13400</v>
      </c>
      <c r="K18" s="10">
        <v>25400</v>
      </c>
      <c r="L18" s="23" t="s">
        <v>0</v>
      </c>
      <c r="M18" s="10">
        <f>O18-(B18+D18+F18+H18+J18+K18)</f>
        <v>14084</v>
      </c>
      <c r="N18" s="2">
        <f>O18-SUM(J18:M18)</f>
        <v>83321</v>
      </c>
      <c r="O18" s="10">
        <v>136205</v>
      </c>
      <c r="P18" s="10">
        <v>10990</v>
      </c>
    </row>
    <row r="19" spans="1:16">
      <c r="A19" s="7">
        <v>26664</v>
      </c>
      <c r="B19" s="10">
        <v>51559</v>
      </c>
      <c r="C19" s="10">
        <v>9838</v>
      </c>
      <c r="D19" s="10">
        <v>14387</v>
      </c>
      <c r="E19" s="10">
        <v>500</v>
      </c>
      <c r="F19" s="10">
        <f>11941+1330+1033</f>
        <v>14304</v>
      </c>
      <c r="G19" s="10">
        <f>120+144+522</f>
        <v>786</v>
      </c>
      <c r="H19" s="10">
        <v>5597</v>
      </c>
      <c r="I19" s="10">
        <v>0</v>
      </c>
      <c r="J19" s="28">
        <v>13300</v>
      </c>
      <c r="K19" s="10">
        <v>25600</v>
      </c>
      <c r="L19" s="23" t="s">
        <v>0</v>
      </c>
      <c r="M19" s="10">
        <f>O19-(B19+D19+F19+H19+J19+K19)</f>
        <v>14935</v>
      </c>
      <c r="N19" s="2">
        <f>O19-SUM(J19:M19)</f>
        <v>85847</v>
      </c>
      <c r="O19" s="10">
        <v>139682</v>
      </c>
      <c r="P19" s="10">
        <v>11980</v>
      </c>
    </row>
    <row r="20" spans="1:16">
      <c r="A20" s="7">
        <v>27029</v>
      </c>
      <c r="B20" s="10">
        <v>54186</v>
      </c>
      <c r="C20" s="10">
        <v>9988</v>
      </c>
      <c r="D20" s="10">
        <v>14952</v>
      </c>
      <c r="E20" s="10">
        <v>500</v>
      </c>
      <c r="F20" s="10">
        <f>11699+1443+1039</f>
        <v>14181</v>
      </c>
      <c r="G20" s="10">
        <f>133+171+554</f>
        <v>858</v>
      </c>
      <c r="H20" s="10">
        <v>6298</v>
      </c>
      <c r="I20" s="10">
        <v>0</v>
      </c>
      <c r="J20" s="28">
        <v>13300</v>
      </c>
      <c r="K20" s="10">
        <v>26200</v>
      </c>
      <c r="L20" s="23" t="s">
        <v>0</v>
      </c>
      <c r="M20" s="10">
        <f>O20-(B20+D20+F20+H20+J20+K20)</f>
        <v>16092</v>
      </c>
      <c r="N20" s="2">
        <f>O20-SUM(J20:M20)</f>
        <v>89617</v>
      </c>
      <c r="O20" s="10">
        <v>145209</v>
      </c>
      <c r="P20" s="10">
        <v>12240</v>
      </c>
    </row>
    <row r="21" spans="1:16">
      <c r="A21" s="7">
        <v>27394</v>
      </c>
      <c r="B21" s="10">
        <v>56239</v>
      </c>
      <c r="C21" s="10">
        <v>10911</v>
      </c>
      <c r="D21" s="10">
        <v>15355</v>
      </c>
      <c r="E21" s="10">
        <v>600</v>
      </c>
      <c r="F21" s="10">
        <f>11746+1555+977</f>
        <v>14278</v>
      </c>
      <c r="G21" s="10">
        <f>156+182+546</f>
        <v>884</v>
      </c>
      <c r="H21" s="10">
        <v>7449</v>
      </c>
      <c r="I21" s="10">
        <v>5</v>
      </c>
      <c r="J21" s="28">
        <v>13200</v>
      </c>
      <c r="K21" s="10">
        <v>27000</v>
      </c>
      <c r="L21" s="23" t="s">
        <v>0</v>
      </c>
      <c r="M21" s="10">
        <f>O21-(B21+D21+F21+H21+J21+K21)</f>
        <v>17542</v>
      </c>
      <c r="N21" s="2">
        <f>O21-SUM(J21:M21)</f>
        <v>93321</v>
      </c>
      <c r="O21" s="10">
        <v>151063</v>
      </c>
      <c r="P21" s="10">
        <v>13280</v>
      </c>
    </row>
    <row r="22" spans="1:16">
      <c r="A22" s="7">
        <v>27759</v>
      </c>
      <c r="B22" s="10">
        <v>55157</v>
      </c>
      <c r="C22" s="10">
        <v>11738</v>
      </c>
      <c r="D22" s="10">
        <v>15131</v>
      </c>
      <c r="E22" s="10">
        <v>750</v>
      </c>
      <c r="F22" s="10">
        <f>12615+1734+1162</f>
        <v>15511</v>
      </c>
      <c r="G22" s="10">
        <f>374+315+540</f>
        <v>1229</v>
      </c>
      <c r="H22" s="10">
        <v>6826</v>
      </c>
      <c r="I22" s="10">
        <v>16</v>
      </c>
      <c r="J22" s="28">
        <v>13000</v>
      </c>
      <c r="K22" s="10">
        <v>27500</v>
      </c>
      <c r="L22" s="23" t="s">
        <v>0</v>
      </c>
      <c r="M22" s="10">
        <f>O22-(B22+D22+F22+H22+J22+K22)</f>
        <v>18512</v>
      </c>
      <c r="N22" s="2">
        <f>O22-SUM(J22:M22)</f>
        <v>92625</v>
      </c>
      <c r="O22" s="10">
        <v>151637</v>
      </c>
      <c r="P22" s="10">
        <v>14520</v>
      </c>
    </row>
    <row r="23" spans="1:16">
      <c r="A23" s="7">
        <v>28125</v>
      </c>
      <c r="B23" s="10">
        <v>56325</v>
      </c>
      <c r="C23" s="10">
        <v>11432</v>
      </c>
      <c r="D23" s="10">
        <v>15148</v>
      </c>
      <c r="E23" s="10">
        <v>750</v>
      </c>
      <c r="F23" s="10">
        <f>12456+1880+1262</f>
        <v>15598</v>
      </c>
      <c r="G23" s="10">
        <f>359+509+519</f>
        <v>1387</v>
      </c>
      <c r="H23" s="10">
        <v>7422</v>
      </c>
      <c r="I23" s="10">
        <v>26</v>
      </c>
      <c r="J23" s="28">
        <v>13200</v>
      </c>
      <c r="K23" s="10">
        <v>27800</v>
      </c>
      <c r="L23" s="23" t="s">
        <v>0</v>
      </c>
      <c r="M23" s="10">
        <f>O23-(B23+D23+F23+H23+J23+K23)</f>
        <v>19259</v>
      </c>
      <c r="N23" s="2">
        <f>O23-SUM(J23:M23)</f>
        <v>94493</v>
      </c>
      <c r="O23" s="10">
        <v>154752</v>
      </c>
      <c r="P23" s="10">
        <v>14370</v>
      </c>
    </row>
    <row r="24" spans="1:16">
      <c r="A24" s="7">
        <v>28490</v>
      </c>
      <c r="B24" s="10">
        <v>53535</v>
      </c>
      <c r="C24" s="10">
        <v>11092</v>
      </c>
      <c r="D24" s="10">
        <v>14396</v>
      </c>
      <c r="E24" s="10">
        <v>750</v>
      </c>
      <c r="F24" s="10">
        <f>10900+1846+1184</f>
        <v>13930</v>
      </c>
      <c r="G24" s="10">
        <f>326+572+459</f>
        <v>1357</v>
      </c>
      <c r="H24" s="10">
        <v>7891</v>
      </c>
      <c r="I24" s="10">
        <v>35</v>
      </c>
      <c r="J24" s="28">
        <v>13200</v>
      </c>
      <c r="K24" s="10">
        <v>28400</v>
      </c>
      <c r="L24" s="23" t="s">
        <v>0</v>
      </c>
      <c r="M24" s="10">
        <f>O24-(B24+D24+F24+H24+J24+K24)</f>
        <v>18995</v>
      </c>
      <c r="N24" s="2">
        <f>O24-SUM(J24:M24)</f>
        <v>89752</v>
      </c>
      <c r="O24" s="10">
        <v>150347</v>
      </c>
      <c r="P24" s="10">
        <v>13940</v>
      </c>
    </row>
    <row r="25" spans="1:16">
      <c r="A25" s="7">
        <v>28855</v>
      </c>
      <c r="B25" s="10">
        <v>58934</v>
      </c>
      <c r="C25" s="10">
        <v>12066</v>
      </c>
      <c r="D25" s="10">
        <v>14300</v>
      </c>
      <c r="E25" s="10">
        <v>850</v>
      </c>
      <c r="F25" s="10">
        <f>11544+2008+1140</f>
        <v>14692</v>
      </c>
      <c r="G25" s="10">
        <f>312+584+415</f>
        <v>1311</v>
      </c>
      <c r="H25" s="10">
        <v>9081</v>
      </c>
      <c r="I25" s="10">
        <v>51</v>
      </c>
      <c r="J25" s="28">
        <v>13200</v>
      </c>
      <c r="K25" s="10">
        <v>29000</v>
      </c>
      <c r="L25" s="23" t="s">
        <v>0</v>
      </c>
      <c r="M25" s="10">
        <f>O25-(B25+D25+F25+H25+J25+K25)</f>
        <v>19799</v>
      </c>
      <c r="N25" s="2">
        <f>O25-SUM(J25:M25)</f>
        <v>97007</v>
      </c>
      <c r="O25" s="10">
        <v>159006</v>
      </c>
      <c r="P25" s="10">
        <v>14940</v>
      </c>
    </row>
    <row r="26" spans="1:16">
      <c r="A26" s="7">
        <v>29220</v>
      </c>
      <c r="B26" s="10">
        <v>63879</v>
      </c>
      <c r="C26" s="10">
        <v>13351</v>
      </c>
      <c r="D26" s="10">
        <v>13872</v>
      </c>
      <c r="E26" s="10">
        <v>1000</v>
      </c>
      <c r="F26" s="10">
        <f>12005+2141+1057</f>
        <v>15203</v>
      </c>
      <c r="G26" s="10">
        <f>309+626+500</f>
        <v>1435</v>
      </c>
      <c r="H26" s="10">
        <v>10003</v>
      </c>
      <c r="I26" s="10">
        <v>87</v>
      </c>
      <c r="J26" s="28">
        <v>13200</v>
      </c>
      <c r="K26" s="10">
        <v>29500</v>
      </c>
      <c r="L26" s="23" t="s">
        <v>0</v>
      </c>
      <c r="M26" s="10">
        <f>O26-(B26+D26+F26+H26+J26+K26)</f>
        <v>20886</v>
      </c>
      <c r="N26" s="2">
        <f>O26-SUM(J26:M26)</f>
        <v>102957</v>
      </c>
      <c r="O26" s="10">
        <v>166543</v>
      </c>
      <c r="P26" s="10">
        <v>16610</v>
      </c>
    </row>
    <row r="27" spans="1:16">
      <c r="A27" s="7">
        <v>29586</v>
      </c>
      <c r="B27" s="10">
        <v>62814</v>
      </c>
      <c r="C27" s="10">
        <v>13316</v>
      </c>
      <c r="D27" s="10">
        <v>13166</v>
      </c>
      <c r="E27" s="10">
        <v>1050</v>
      </c>
      <c r="F27" s="10">
        <f>11357+2201+1056</f>
        <v>14614</v>
      </c>
      <c r="G27" s="10">
        <f>353+637+511</f>
        <v>1501</v>
      </c>
      <c r="H27" s="10">
        <v>11128</v>
      </c>
      <c r="I27" s="10">
        <v>99</v>
      </c>
      <c r="J27" s="28">
        <v>13200</v>
      </c>
      <c r="K27" s="10">
        <v>30000</v>
      </c>
      <c r="L27" s="23" t="s">
        <v>0</v>
      </c>
      <c r="M27" s="10">
        <f>O27-(B27+D27+F27+H27+J27+K27)</f>
        <v>21348</v>
      </c>
      <c r="N27" s="2">
        <f>O27-SUM(J27:M27)</f>
        <v>101722</v>
      </c>
      <c r="O27" s="10">
        <v>166270</v>
      </c>
      <c r="P27" s="10">
        <v>16710</v>
      </c>
    </row>
    <row r="28" spans="1:16">
      <c r="A28" s="7">
        <v>29951</v>
      </c>
      <c r="B28" s="10">
        <v>65947</v>
      </c>
      <c r="C28" s="10">
        <v>15079</v>
      </c>
      <c r="D28" s="10">
        <v>12995</v>
      </c>
      <c r="E28" s="10">
        <v>1100</v>
      </c>
      <c r="F28" s="10">
        <f>11737+2309+1038</f>
        <v>15084</v>
      </c>
      <c r="G28" s="10">
        <f>370+631+563</f>
        <v>1564</v>
      </c>
      <c r="H28" s="10">
        <v>11810</v>
      </c>
      <c r="I28" s="10">
        <v>116</v>
      </c>
      <c r="J28" s="28">
        <v>13200</v>
      </c>
      <c r="K28" s="10">
        <v>30200</v>
      </c>
      <c r="L28" s="23" t="s">
        <v>0</v>
      </c>
      <c r="M28" s="10">
        <f>O28-(B28+D28+F28+H28+J28+K28)</f>
        <v>22432</v>
      </c>
      <c r="N28" s="2">
        <f>O28-SUM(J28:M28)</f>
        <v>105836</v>
      </c>
      <c r="O28" s="10">
        <v>171668</v>
      </c>
      <c r="P28" s="10">
        <v>18650</v>
      </c>
    </row>
    <row r="29" spans="1:16">
      <c r="A29" s="7">
        <v>30316</v>
      </c>
      <c r="B29" s="10">
        <v>69952</v>
      </c>
      <c r="C29" s="10">
        <v>16618</v>
      </c>
      <c r="D29" s="10">
        <v>12472</v>
      </c>
      <c r="E29" s="10">
        <v>1250</v>
      </c>
      <c r="F29" s="10">
        <f>12138+2436+1024</f>
        <v>15598</v>
      </c>
      <c r="G29" s="10">
        <f>414+691+601</f>
        <v>1706</v>
      </c>
      <c r="H29" s="10">
        <v>12923</v>
      </c>
      <c r="I29" s="10">
        <v>132</v>
      </c>
      <c r="J29" s="28">
        <v>13200</v>
      </c>
      <c r="K29" s="10">
        <v>31000</v>
      </c>
      <c r="L29" s="23" t="s">
        <v>0</v>
      </c>
      <c r="M29" s="10">
        <f>O29-(B29+D29+F29+H29+J29+K29)</f>
        <v>23623</v>
      </c>
      <c r="N29" s="2">
        <f>O29-SUM(J29:M29)</f>
        <v>110945</v>
      </c>
      <c r="O29" s="10">
        <v>178768</v>
      </c>
      <c r="P29" s="10">
        <v>20640</v>
      </c>
    </row>
    <row r="30" spans="1:16">
      <c r="A30" s="7">
        <v>30681</v>
      </c>
      <c r="B30" s="10">
        <v>72135</v>
      </c>
      <c r="C30" s="10">
        <v>18483</v>
      </c>
      <c r="D30" s="10">
        <v>12635</v>
      </c>
      <c r="E30" s="10">
        <v>1506</v>
      </c>
      <c r="F30" s="10">
        <f>12052+2488+1035</f>
        <v>15575</v>
      </c>
      <c r="G30" s="10">
        <f>1042+794+648</f>
        <v>2484</v>
      </c>
      <c r="H30" s="10">
        <v>13656</v>
      </c>
      <c r="I30" s="10">
        <v>152</v>
      </c>
      <c r="J30" s="28">
        <v>13200</v>
      </c>
      <c r="K30" s="10">
        <v>31600</v>
      </c>
      <c r="L30" s="9">
        <v>474</v>
      </c>
      <c r="M30" s="10">
        <f>O30-(B30+D30+F30+H30+J30+K30)</f>
        <v>24697</v>
      </c>
      <c r="N30" s="2">
        <f>O30-SUM(J30:M30)</f>
        <v>113527</v>
      </c>
      <c r="O30" s="10">
        <v>183498</v>
      </c>
      <c r="P30" s="10">
        <v>24114</v>
      </c>
    </row>
    <row r="31" spans="1:16">
      <c r="A31" s="7">
        <v>31047</v>
      </c>
      <c r="B31" s="10">
        <v>71999</v>
      </c>
      <c r="C31" s="10">
        <v>20371</v>
      </c>
      <c r="D31" s="10">
        <v>12908</v>
      </c>
      <c r="E31" s="10">
        <v>2514</v>
      </c>
      <c r="F31" s="10">
        <f>12130+2480+1051</f>
        <v>15661</v>
      </c>
      <c r="G31" s="10">
        <f>2033+878+686</f>
        <v>3597</v>
      </c>
      <c r="H31" s="10">
        <v>15871</v>
      </c>
      <c r="I31" s="10">
        <v>268</v>
      </c>
      <c r="J31" s="28">
        <v>13200</v>
      </c>
      <c r="K31" s="10">
        <v>34700</v>
      </c>
      <c r="L31" s="10">
        <v>3470</v>
      </c>
      <c r="M31" s="10">
        <f>O31-(B31+D31+F31+H31+J31+K31)</f>
        <v>27911</v>
      </c>
      <c r="N31" s="2">
        <f>O31-SUM(J31:M31)</f>
        <v>112969</v>
      </c>
      <c r="O31" s="10">
        <v>192250</v>
      </c>
      <c r="P31" s="10">
        <v>31600</v>
      </c>
    </row>
    <row r="32" spans="1:16">
      <c r="A32" s="7">
        <v>31412</v>
      </c>
      <c r="B32" s="10">
        <v>72726</v>
      </c>
      <c r="C32" s="10">
        <v>20226</v>
      </c>
      <c r="D32" s="10">
        <v>13100</v>
      </c>
      <c r="E32" s="10">
        <v>2625</v>
      </c>
      <c r="F32" s="10">
        <f>12641+2806+1098</f>
        <v>16545</v>
      </c>
      <c r="G32" s="10">
        <f>2580+1007+728</f>
        <v>4315</v>
      </c>
      <c r="H32" s="10">
        <v>17135</v>
      </c>
      <c r="I32" s="9">
        <v>368</v>
      </c>
      <c r="J32" s="29">
        <v>23860</v>
      </c>
      <c r="K32" s="10">
        <v>35000</v>
      </c>
      <c r="L32" s="19">
        <v>4200</v>
      </c>
      <c r="M32" s="10">
        <f>O32-(B32+D32+F32+H32+J32+K32)</f>
        <v>29901</v>
      </c>
      <c r="N32" s="2">
        <f>O32-SUM(J32:M32)</f>
        <v>115306</v>
      </c>
      <c r="O32" s="10">
        <f>205207+3060</f>
        <v>208267</v>
      </c>
      <c r="P32" s="10">
        <v>33240</v>
      </c>
    </row>
    <row r="33" spans="1:21">
      <c r="A33" s="7">
        <v>31777</v>
      </c>
      <c r="B33" s="10">
        <v>70985</v>
      </c>
      <c r="C33" s="10">
        <v>22517</v>
      </c>
      <c r="D33" s="10">
        <v>12593</v>
      </c>
      <c r="E33" s="10">
        <v>2555</v>
      </c>
      <c r="F33" s="10">
        <f>12656+2846+1129</f>
        <v>16631</v>
      </c>
      <c r="G33" s="10">
        <f>3047+1011+735</f>
        <v>4793</v>
      </c>
      <c r="H33" s="10">
        <v>17711</v>
      </c>
      <c r="I33" s="10">
        <v>454</v>
      </c>
      <c r="J33" s="29">
        <v>23890</v>
      </c>
      <c r="K33" s="10">
        <v>35000</v>
      </c>
      <c r="L33" s="19">
        <v>4800</v>
      </c>
      <c r="M33" s="10">
        <f>O33-(B33+D33+F33+H33+J33+K33)</f>
        <v>30920</v>
      </c>
      <c r="N33" s="2">
        <f>O33-SUM(J33:M33)</f>
        <v>113120</v>
      </c>
      <c r="O33" s="10">
        <v>207730</v>
      </c>
      <c r="P33" s="10">
        <v>37330</v>
      </c>
    </row>
    <row r="34" spans="1:21">
      <c r="A34" s="7">
        <v>32142</v>
      </c>
      <c r="B34" s="10">
        <v>74265</v>
      </c>
      <c r="C34" s="10">
        <v>24472</v>
      </c>
      <c r="D34" s="10">
        <v>13133</v>
      </c>
      <c r="E34" s="10">
        <v>2891</v>
      </c>
      <c r="F34" s="10">
        <f>12079+2873+1115</f>
        <v>16067</v>
      </c>
      <c r="G34" s="10">
        <f>3349+1105+714</f>
        <v>5168</v>
      </c>
      <c r="H34" s="10">
        <v>18405</v>
      </c>
      <c r="I34" s="10">
        <v>604</v>
      </c>
      <c r="J34" s="29">
        <v>24050</v>
      </c>
      <c r="K34" s="10">
        <v>35000</v>
      </c>
      <c r="L34" s="19">
        <v>5400</v>
      </c>
      <c r="M34" s="10">
        <f>O34-(B34+D34+F34+H34+J34+K34)</f>
        <v>34026</v>
      </c>
      <c r="N34" s="2">
        <f>O34-SUM(J34:M34)</f>
        <v>116470</v>
      </c>
      <c r="O34" s="10">
        <v>214946</v>
      </c>
      <c r="P34" s="10">
        <v>41420</v>
      </c>
    </row>
    <row r="35" spans="1:21">
      <c r="A35" s="7">
        <v>32508</v>
      </c>
      <c r="B35" s="10">
        <v>77430</v>
      </c>
      <c r="C35" s="10">
        <v>25485</v>
      </c>
      <c r="D35" s="10">
        <v>13622</v>
      </c>
      <c r="E35" s="10">
        <v>3007</v>
      </c>
      <c r="F35" s="10">
        <f>11917+2937+1111</f>
        <v>15965</v>
      </c>
      <c r="G35" s="10">
        <f>3912+1046+702</f>
        <v>5660</v>
      </c>
      <c r="H35" s="10">
        <v>18965</v>
      </c>
      <c r="I35" s="10">
        <v>670</v>
      </c>
      <c r="J35" s="29">
        <v>24300</v>
      </c>
      <c r="K35" s="10">
        <v>33250</v>
      </c>
      <c r="L35" s="19">
        <v>6900</v>
      </c>
      <c r="M35" s="10">
        <f>O35-(B35+D35+F35+H35+J35+K35)</f>
        <v>31322</v>
      </c>
      <c r="N35" s="2">
        <f>O35-SUM(J35:M35)</f>
        <v>119082</v>
      </c>
      <c r="O35" s="10">
        <f>211754+3100</f>
        <v>214854</v>
      </c>
      <c r="P35" s="10">
        <v>44720</v>
      </c>
    </row>
    <row r="36" spans="1:21">
      <c r="A36" s="7">
        <v>32873</v>
      </c>
      <c r="B36" s="10">
        <v>80842</v>
      </c>
      <c r="C36" s="10">
        <v>29467</v>
      </c>
      <c r="D36" s="10">
        <v>13350</v>
      </c>
      <c r="E36" s="10">
        <v>3110</v>
      </c>
      <c r="F36" s="10">
        <f>11783+3046+1348</f>
        <v>16177</v>
      </c>
      <c r="G36" s="10">
        <f>4124+1151+985</f>
        <v>6260</v>
      </c>
      <c r="H36" s="10">
        <v>19258</v>
      </c>
      <c r="I36" s="10">
        <v>940</v>
      </c>
      <c r="J36" s="29">
        <v>24610</v>
      </c>
      <c r="K36" s="10">
        <v>31500</v>
      </c>
      <c r="L36" s="19">
        <v>8520</v>
      </c>
      <c r="M36" s="10">
        <f>O36-(B36+D36+F36+H36+J36+K36)</f>
        <v>35587</v>
      </c>
      <c r="N36" s="2">
        <f>O36-SUM(J36:M36)</f>
        <v>121107</v>
      </c>
      <c r="O36" s="10">
        <f>218214+3110</f>
        <v>221324</v>
      </c>
      <c r="P36" s="10">
        <v>51740</v>
      </c>
    </row>
    <row r="37" spans="1:21">
      <c r="A37" s="7">
        <v>33238</v>
      </c>
      <c r="B37" s="10">
        <v>81670</v>
      </c>
      <c r="C37" s="10">
        <v>32705</v>
      </c>
      <c r="D37" s="10">
        <v>12830</v>
      </c>
      <c r="E37" s="10">
        <v>3141</v>
      </c>
      <c r="F37" s="10">
        <f>11640+2960+1260</f>
        <v>15860</v>
      </c>
      <c r="G37" s="10">
        <f>4234+1017+806</f>
        <v>6057</v>
      </c>
      <c r="H37" s="10">
        <v>18900</v>
      </c>
      <c r="I37" s="10">
        <v>989</v>
      </c>
      <c r="J37" s="29">
        <v>24730</v>
      </c>
      <c r="K37" s="10">
        <v>30280</v>
      </c>
      <c r="L37" s="20">
        <v>9600</v>
      </c>
      <c r="M37" s="10">
        <f>O37-(B37+D37+F37+H37+J37+K37)</f>
        <v>33001</v>
      </c>
      <c r="N37" s="2">
        <f>O37-SUM(J37:M37)</f>
        <v>119660</v>
      </c>
      <c r="O37" s="1">
        <v>217271</v>
      </c>
      <c r="P37" s="10">
        <v>55750</v>
      </c>
    </row>
    <row r="38" spans="1:21">
      <c r="A38" s="7">
        <v>33603</v>
      </c>
      <c r="B38" s="10">
        <v>79676</v>
      </c>
      <c r="C38" s="10">
        <v>32604</v>
      </c>
      <c r="D38" s="10">
        <v>12291</v>
      </c>
      <c r="E38" s="10">
        <v>3174</v>
      </c>
      <c r="F38" s="10">
        <f>11829+2957+1263</f>
        <v>16049</v>
      </c>
      <c r="G38" s="10">
        <f>4496+1022+844</f>
        <v>6362</v>
      </c>
      <c r="H38" s="10">
        <v>19759</v>
      </c>
      <c r="I38" s="10">
        <v>1057</v>
      </c>
      <c r="J38" s="29">
        <v>26160</v>
      </c>
      <c r="K38" s="10">
        <v>28700</v>
      </c>
      <c r="L38" s="20">
        <v>10910</v>
      </c>
      <c r="M38" s="10">
        <f>O38-(B38+D38+F38+H38+J38+K38)</f>
        <v>33355</v>
      </c>
      <c r="N38" s="2">
        <f>O38-SUM(J38:M38)</f>
        <v>116865</v>
      </c>
      <c r="O38" s="10">
        <f>211680+4310</f>
        <v>215990</v>
      </c>
      <c r="P38" s="10">
        <v>58040</v>
      </c>
    </row>
    <row r="39" spans="1:21">
      <c r="A39" s="11">
        <v>1997</v>
      </c>
      <c r="B39" s="10">
        <v>83290</v>
      </c>
      <c r="C39" s="10">
        <v>33580</v>
      </c>
      <c r="D39" s="10">
        <v>12012</v>
      </c>
      <c r="E39" s="10">
        <v>2920</v>
      </c>
      <c r="F39" s="10">
        <f>12326+3010+1274</f>
        <v>16610</v>
      </c>
      <c r="G39" s="10">
        <v>6500</v>
      </c>
      <c r="H39" s="10">
        <v>21463</v>
      </c>
      <c r="I39" s="10">
        <v>1110</v>
      </c>
      <c r="J39" s="29">
        <v>26290</v>
      </c>
      <c r="K39" s="10">
        <v>29000</v>
      </c>
      <c r="L39" s="21">
        <v>12070</v>
      </c>
      <c r="M39" s="10">
        <f>O39-(B39+D39+F39+H39+J39+K39)</f>
        <v>34435</v>
      </c>
      <c r="N39" s="2">
        <f>O39-SUM(J39:M39)</f>
        <v>121305</v>
      </c>
      <c r="O39" s="10">
        <f>221430+1670</f>
        <v>223100</v>
      </c>
      <c r="P39" s="10">
        <v>59990</v>
      </c>
    </row>
    <row r="40" spans="1:21">
      <c r="A40" s="11">
        <v>1998</v>
      </c>
      <c r="B40" s="10">
        <v>84160</v>
      </c>
      <c r="C40" s="10">
        <v>34360</v>
      </c>
      <c r="D40" s="10">
        <v>12640</v>
      </c>
      <c r="E40" s="10">
        <v>2940</v>
      </c>
      <c r="F40" s="10">
        <v>16810</v>
      </c>
      <c r="G40" s="10">
        <v>6120</v>
      </c>
      <c r="H40" s="10">
        <v>22370</v>
      </c>
      <c r="I40" s="10">
        <v>1200</v>
      </c>
      <c r="J40" s="29">
        <v>26590</v>
      </c>
      <c r="K40" s="10">
        <v>29240</v>
      </c>
      <c r="L40" s="21">
        <v>13140</v>
      </c>
      <c r="M40" s="10">
        <f>O40-(B40+D40+F40+H40+J40+K40)</f>
        <v>35310</v>
      </c>
      <c r="N40" s="2">
        <f>O40-SUM(J40:M40)</f>
        <v>122840</v>
      </c>
      <c r="O40" s="10">
        <f>225440+1680</f>
        <v>227120</v>
      </c>
      <c r="P40" s="10">
        <v>61820</v>
      </c>
    </row>
    <row r="41" spans="1:21">
      <c r="A41" s="11">
        <v>1999</v>
      </c>
      <c r="B41" s="10">
        <v>88260</v>
      </c>
      <c r="C41" s="10">
        <v>36080</v>
      </c>
      <c r="D41" s="10">
        <v>12910</v>
      </c>
      <c r="E41" s="10">
        <v>3000</v>
      </c>
      <c r="F41" s="10">
        <v>17790</v>
      </c>
      <c r="G41" s="10">
        <v>6340</v>
      </c>
      <c r="H41" s="10">
        <v>24080</v>
      </c>
      <c r="I41" s="10">
        <v>1280</v>
      </c>
      <c r="J41" s="29">
        <v>26860</v>
      </c>
      <c r="K41" s="10">
        <v>29500</v>
      </c>
      <c r="L41" s="22">
        <v>14720</v>
      </c>
      <c r="M41" s="10">
        <f>O41-(B41+D41+F41+H41+J41+K41)</f>
        <v>35480</v>
      </c>
      <c r="N41" s="2">
        <f>O41-SUM(J41:M41)</f>
        <v>128320</v>
      </c>
      <c r="O41" s="1">
        <v>234880</v>
      </c>
      <c r="P41" s="10">
        <v>65520</v>
      </c>
    </row>
    <row r="42" spans="1:21" s="13" customFormat="1">
      <c r="A42" s="12">
        <v>2000</v>
      </c>
      <c r="B42" s="1">
        <v>87740</v>
      </c>
      <c r="C42" s="10">
        <v>37560</v>
      </c>
      <c r="D42" s="1">
        <v>12770</v>
      </c>
      <c r="E42" s="10">
        <v>2880</v>
      </c>
      <c r="F42" s="1">
        <f>14150+3190+1600</f>
        <v>18940</v>
      </c>
      <c r="G42" s="10">
        <v>6600</v>
      </c>
      <c r="H42" s="1">
        <v>25530</v>
      </c>
      <c r="I42" s="10">
        <v>1480</v>
      </c>
      <c r="J42" s="29">
        <v>30700</v>
      </c>
      <c r="K42" s="1">
        <v>30530</v>
      </c>
      <c r="L42" s="22">
        <v>16450</v>
      </c>
      <c r="M42" s="1">
        <f>O42-(B42+D42+F42+H42+J42+K42)</f>
        <v>36330</v>
      </c>
      <c r="N42" s="2">
        <f>O42-SUM(J42:M42)</f>
        <v>128530</v>
      </c>
      <c r="O42" s="1">
        <v>242540</v>
      </c>
      <c r="P42" s="1">
        <v>69460</v>
      </c>
    </row>
    <row r="43" spans="1:21" s="13" customFormat="1">
      <c r="A43" s="12">
        <v>2001</v>
      </c>
      <c r="B43" s="1">
        <v>82770</v>
      </c>
      <c r="C43" s="10">
        <v>37340</v>
      </c>
      <c r="D43" s="1">
        <v>12600</v>
      </c>
      <c r="E43" s="10">
        <v>2650</v>
      </c>
      <c r="F43" s="1">
        <f>14190+3230+1620</f>
        <v>19040</v>
      </c>
      <c r="G43" s="10">
        <v>6490</v>
      </c>
      <c r="H43" s="1">
        <v>26150</v>
      </c>
      <c r="I43" s="10">
        <v>1520</v>
      </c>
      <c r="J43" s="29">
        <v>31160</v>
      </c>
      <c r="K43" s="1">
        <v>30840</v>
      </c>
      <c r="L43" s="22">
        <v>16550</v>
      </c>
      <c r="M43" s="1">
        <f>O43-(B43+D43+F43+H43+J43+K43)</f>
        <v>37310</v>
      </c>
      <c r="N43" s="2">
        <f>O43-SUM(J43:M43)</f>
        <v>124010</v>
      </c>
      <c r="O43" s="1">
        <v>239870</v>
      </c>
      <c r="P43" s="1">
        <v>69680</v>
      </c>
    </row>
    <row r="44" spans="1:21" s="13" customFormat="1">
      <c r="A44" s="12">
        <v>2002</v>
      </c>
      <c r="B44" s="1">
        <v>84070</v>
      </c>
      <c r="C44" s="10">
        <v>37980</v>
      </c>
      <c r="D44" s="1">
        <v>12760</v>
      </c>
      <c r="E44" s="10">
        <v>2730</v>
      </c>
      <c r="F44" s="1">
        <f>14420+3240+1620</f>
        <v>19280</v>
      </c>
      <c r="G44" s="10">
        <v>6820</v>
      </c>
      <c r="H44" s="1">
        <v>27390</v>
      </c>
      <c r="I44" s="10">
        <v>1480</v>
      </c>
      <c r="J44" s="29">
        <v>31610</v>
      </c>
      <c r="K44" s="1">
        <v>31160</v>
      </c>
      <c r="L44" s="22">
        <v>16740</v>
      </c>
      <c r="M44" s="1">
        <f>O44-(B44+D44+F44+H44+J44+K44)</f>
        <v>38090</v>
      </c>
      <c r="N44" s="2">
        <f>O44-SUM(J44:M44)</f>
        <v>126760</v>
      </c>
      <c r="O44" s="1">
        <v>244360</v>
      </c>
      <c r="P44" s="1">
        <v>70970</v>
      </c>
    </row>
    <row r="45" spans="1:21" s="13" customFormat="1">
      <c r="A45" s="12">
        <v>2003</v>
      </c>
      <c r="B45" s="1">
        <v>83160</v>
      </c>
      <c r="C45" s="10">
        <v>39610</v>
      </c>
      <c r="D45" s="1">
        <v>12550</v>
      </c>
      <c r="E45" s="10">
        <v>2650</v>
      </c>
      <c r="F45" s="1">
        <f>14750+3240+1620</f>
        <v>19610</v>
      </c>
      <c r="G45" s="10">
        <v>6950</v>
      </c>
      <c r="H45" s="1">
        <v>27870</v>
      </c>
      <c r="I45" s="10">
        <v>1530</v>
      </c>
      <c r="J45" s="29">
        <v>32030</v>
      </c>
      <c r="K45" s="1">
        <v>31470</v>
      </c>
      <c r="L45" s="22">
        <v>19080</v>
      </c>
      <c r="M45" s="1">
        <f>O45-(B45+D45+F45+H45+J45+K45)</f>
        <v>38740</v>
      </c>
      <c r="N45" s="2">
        <f>O45-SUM(J45:M45)</f>
        <v>124110</v>
      </c>
      <c r="O45" s="1">
        <v>245430</v>
      </c>
      <c r="P45" s="1">
        <v>75120</v>
      </c>
      <c r="Q45" s="14"/>
      <c r="R45" s="14"/>
      <c r="S45" s="14"/>
      <c r="T45" s="14"/>
      <c r="U45" s="14"/>
    </row>
    <row r="46" spans="1:21" s="13" customFormat="1">
      <c r="A46" s="12">
        <v>2004</v>
      </c>
      <c r="B46" s="1">
        <v>86450</v>
      </c>
      <c r="C46" s="10">
        <v>40730</v>
      </c>
      <c r="D46" s="1">
        <v>12890</v>
      </c>
      <c r="E46" s="10">
        <v>2730</v>
      </c>
      <c r="F46" s="1">
        <f>15190+3280+1820</f>
        <v>20290</v>
      </c>
      <c r="G46" s="10">
        <v>7120</v>
      </c>
      <c r="H46" s="1">
        <v>29480</v>
      </c>
      <c r="I46" s="10">
        <v>1730</v>
      </c>
      <c r="J46" s="29">
        <v>32460</v>
      </c>
      <c r="K46" s="1">
        <v>31770</v>
      </c>
      <c r="L46" s="22">
        <v>20470</v>
      </c>
      <c r="M46" s="1">
        <f>O46-(B46+D46+F46+H46+J46+K46)</f>
        <v>39750</v>
      </c>
      <c r="N46" s="2">
        <f>O46-SUM(J46:M46)</f>
        <v>128640</v>
      </c>
      <c r="O46" s="1">
        <v>253090</v>
      </c>
      <c r="P46" s="1">
        <v>78570</v>
      </c>
      <c r="Q46" s="14"/>
      <c r="R46" s="14"/>
      <c r="S46" s="14"/>
      <c r="T46" s="14"/>
      <c r="U46" s="14"/>
    </row>
    <row r="47" spans="1:21" s="13" customFormat="1">
      <c r="A47" s="12">
        <v>2005</v>
      </c>
      <c r="B47" s="1">
        <v>84840</v>
      </c>
      <c r="C47" s="10">
        <v>41960</v>
      </c>
      <c r="D47" s="1">
        <v>12540</v>
      </c>
      <c r="E47" s="10">
        <v>2590</v>
      </c>
      <c r="F47" s="2">
        <v>20400</v>
      </c>
      <c r="G47" s="10">
        <v>6990</v>
      </c>
      <c r="H47" s="1">
        <v>29380</v>
      </c>
      <c r="I47" s="10">
        <v>1780</v>
      </c>
      <c r="J47" s="29">
        <v>32930</v>
      </c>
      <c r="K47" s="1">
        <v>32070</v>
      </c>
      <c r="L47" s="19">
        <v>20550</v>
      </c>
      <c r="M47" s="1">
        <f>O47-(B47+D47+F47+H47+J47+K47)</f>
        <v>41570</v>
      </c>
      <c r="N47" s="2">
        <f>O47-SUM(J47:M47)</f>
        <v>126610</v>
      </c>
      <c r="O47" s="2">
        <v>253730</v>
      </c>
      <c r="P47" s="1">
        <v>79790</v>
      </c>
      <c r="Q47" s="2"/>
      <c r="R47" s="14"/>
      <c r="S47" s="2"/>
      <c r="T47" s="14"/>
      <c r="U47" s="3"/>
    </row>
    <row r="48" spans="1:21" s="13" customFormat="1">
      <c r="A48" s="12">
        <v>2006</v>
      </c>
      <c r="B48" s="1">
        <v>85350</v>
      </c>
      <c r="C48" s="10">
        <v>43830</v>
      </c>
      <c r="D48" s="1">
        <v>12620</v>
      </c>
      <c r="E48" s="10">
        <v>2630</v>
      </c>
      <c r="F48" s="2">
        <v>21050</v>
      </c>
      <c r="G48" s="10">
        <v>7240</v>
      </c>
      <c r="H48" s="1">
        <v>29960</v>
      </c>
      <c r="I48" s="10">
        <v>2060</v>
      </c>
      <c r="J48" s="29">
        <v>33270</v>
      </c>
      <c r="K48" s="1">
        <v>32400</v>
      </c>
      <c r="L48" s="19">
        <v>20780</v>
      </c>
      <c r="M48" s="1">
        <f>O48-(B48+D48+F48+H48+J48+K48)</f>
        <v>42450</v>
      </c>
      <c r="N48" s="2">
        <f>O48-SUM(J48:M48)</f>
        <v>128200</v>
      </c>
      <c r="O48" s="2">
        <v>257100</v>
      </c>
      <c r="P48" s="1">
        <v>82640</v>
      </c>
      <c r="Q48" s="2"/>
      <c r="R48" s="14"/>
      <c r="S48" s="2"/>
      <c r="T48" s="14"/>
      <c r="U48" s="3"/>
    </row>
    <row r="49" spans="1:27" s="13" customFormat="1">
      <c r="A49" s="12">
        <v>2007</v>
      </c>
      <c r="B49" s="1">
        <v>82530</v>
      </c>
      <c r="C49" s="10">
        <v>44480</v>
      </c>
      <c r="D49" s="1">
        <v>12520</v>
      </c>
      <c r="E49" s="10">
        <v>2880</v>
      </c>
      <c r="F49" s="2">
        <v>21190</v>
      </c>
      <c r="G49" s="10">
        <v>7310</v>
      </c>
      <c r="H49" s="1">
        <v>30910</v>
      </c>
      <c r="I49" s="10">
        <v>2110</v>
      </c>
      <c r="J49" s="29">
        <v>33560</v>
      </c>
      <c r="K49" s="1">
        <v>32630</v>
      </c>
      <c r="L49" s="19">
        <v>21710</v>
      </c>
      <c r="M49" s="1">
        <f>O49-(B49+D49+F49+H49+J49+K49)</f>
        <v>43160</v>
      </c>
      <c r="N49" s="2">
        <f>O49-SUM(J49:M49)</f>
        <v>125440</v>
      </c>
      <c r="O49" s="15">
        <v>256500</v>
      </c>
      <c r="P49" s="1">
        <v>84810</v>
      </c>
      <c r="Q49" s="2"/>
      <c r="R49" s="14"/>
      <c r="S49" s="2"/>
      <c r="T49" s="14"/>
      <c r="U49" s="3"/>
    </row>
    <row r="50" spans="1:27">
      <c r="A50" s="11">
        <v>2008</v>
      </c>
      <c r="B50" s="1">
        <v>77420</v>
      </c>
      <c r="C50" s="10">
        <v>42940</v>
      </c>
      <c r="D50" s="1">
        <v>12150</v>
      </c>
      <c r="E50" s="10">
        <v>2810</v>
      </c>
      <c r="F50" s="2">
        <v>21330</v>
      </c>
      <c r="G50" s="10">
        <v>7390</v>
      </c>
      <c r="H50" s="1">
        <v>30290</v>
      </c>
      <c r="I50" s="10">
        <v>2140</v>
      </c>
      <c r="J50" s="29">
        <v>34300</v>
      </c>
      <c r="K50" s="1">
        <v>32900</v>
      </c>
      <c r="L50" s="19">
        <v>22100</v>
      </c>
      <c r="M50" s="1">
        <f>O50-(B50+D50+F50+H50+J50+K50)</f>
        <v>44260</v>
      </c>
      <c r="N50" s="2">
        <f>O50-SUM(J50:M50)</f>
        <v>119090</v>
      </c>
      <c r="O50" s="14">
        <v>252650</v>
      </c>
      <c r="P50" s="10">
        <v>84000</v>
      </c>
      <c r="Q50" s="2"/>
      <c r="R50" s="15"/>
      <c r="S50" s="2"/>
      <c r="T50" s="15"/>
      <c r="U50" s="3"/>
    </row>
    <row r="51" spans="1:27">
      <c r="A51" s="11">
        <v>2009</v>
      </c>
      <c r="B51" s="1">
        <v>68430</v>
      </c>
      <c r="C51" s="10">
        <v>42500</v>
      </c>
      <c r="D51" s="1">
        <v>11780</v>
      </c>
      <c r="E51" s="10">
        <v>3000</v>
      </c>
      <c r="F51" s="14">
        <v>21320</v>
      </c>
      <c r="G51" s="10">
        <v>7360</v>
      </c>
      <c r="H51" s="1">
        <v>30070</v>
      </c>
      <c r="I51" s="10">
        <v>2120</v>
      </c>
      <c r="J51" s="29">
        <v>35270</v>
      </c>
      <c r="K51" s="1">
        <v>33200</v>
      </c>
      <c r="L51" s="19">
        <v>20750</v>
      </c>
      <c r="M51" s="1">
        <f>O51-(B51+D51+F51+H51+J51+K51)</f>
        <v>44850</v>
      </c>
      <c r="N51" s="2">
        <f>O51-SUM(J51:M51)</f>
        <v>110850</v>
      </c>
      <c r="O51" s="13">
        <v>244920</v>
      </c>
      <c r="P51" s="10">
        <v>82550</v>
      </c>
      <c r="Q51" s="2"/>
      <c r="R51" s="15"/>
      <c r="S51" s="2"/>
      <c r="T51" s="15"/>
      <c r="U51" s="3"/>
      <c r="W51" s="10"/>
      <c r="X51" s="10"/>
      <c r="Y51" s="10"/>
      <c r="Z51" s="10"/>
      <c r="AA51" s="10"/>
    </row>
    <row r="52" spans="1:27">
      <c r="A52" s="11">
        <v>2010</v>
      </c>
      <c r="B52" s="1">
        <v>71310</v>
      </c>
      <c r="C52" s="2">
        <v>44570</v>
      </c>
      <c r="D52" s="1">
        <v>11520</v>
      </c>
      <c r="E52" s="2">
        <v>3130</v>
      </c>
      <c r="F52" s="14">
        <v>22450</v>
      </c>
      <c r="G52" s="2">
        <v>7920</v>
      </c>
      <c r="H52" s="1">
        <v>31400</v>
      </c>
      <c r="I52" s="2">
        <v>2500</v>
      </c>
      <c r="J52" s="29">
        <v>35740</v>
      </c>
      <c r="K52" s="1">
        <v>33400</v>
      </c>
      <c r="L52" s="2">
        <v>20170</v>
      </c>
      <c r="M52" s="1">
        <f>O52-(B52+D52+F52+H52+J52+K52)</f>
        <v>45230</v>
      </c>
      <c r="N52" s="2">
        <f>O52-SUM(J52:M52)</f>
        <v>116510</v>
      </c>
      <c r="O52" s="13">
        <v>251050</v>
      </c>
      <c r="P52" s="2">
        <v>85430</v>
      </c>
      <c r="Q52" s="2"/>
      <c r="R52" s="15"/>
      <c r="S52" s="2"/>
      <c r="T52" s="15"/>
      <c r="U52" s="3"/>
    </row>
    <row r="53" spans="1:27">
      <c r="A53" s="11">
        <v>2011</v>
      </c>
      <c r="B53" s="10">
        <v>69950</v>
      </c>
      <c r="C53" s="2">
        <v>45900</v>
      </c>
      <c r="D53" s="10">
        <v>11490</v>
      </c>
      <c r="E53" s="2">
        <v>3180</v>
      </c>
      <c r="F53" s="15">
        <v>22190</v>
      </c>
      <c r="G53" s="2">
        <v>7650</v>
      </c>
      <c r="H53" s="10">
        <v>32100</v>
      </c>
      <c r="I53" s="2">
        <v>2660</v>
      </c>
      <c r="J53" s="29">
        <v>36310</v>
      </c>
      <c r="K53" s="10">
        <v>33710</v>
      </c>
      <c r="L53" s="2">
        <v>20570</v>
      </c>
      <c r="M53" s="10">
        <f>O53-(B53+D53+F53+H53+J53+K53)</f>
        <v>46220</v>
      </c>
      <c r="N53" s="2">
        <f>O53-SUM(J53:M53)</f>
        <v>115160</v>
      </c>
      <c r="O53" s="9">
        <v>251970</v>
      </c>
      <c r="P53" s="2">
        <v>87260</v>
      </c>
      <c r="Q53" s="5"/>
      <c r="R53" s="15"/>
      <c r="S53" s="4"/>
      <c r="T53" s="15"/>
      <c r="U53" s="6"/>
    </row>
    <row r="54" spans="1:27">
      <c r="A54" s="12">
        <v>2012</v>
      </c>
      <c r="B54" s="2">
        <v>68620</v>
      </c>
      <c r="C54" s="2">
        <v>44360</v>
      </c>
      <c r="D54" s="10">
        <v>11590</v>
      </c>
      <c r="E54" s="2">
        <v>3210</v>
      </c>
      <c r="F54" s="9">
        <v>22430</v>
      </c>
      <c r="G54" s="2">
        <v>7690</v>
      </c>
      <c r="H54" s="10">
        <v>32070</v>
      </c>
      <c r="I54" s="5">
        <v>2790</v>
      </c>
      <c r="J54" s="29">
        <v>36430</v>
      </c>
      <c r="K54" s="10">
        <v>33960</v>
      </c>
      <c r="L54" s="2">
        <v>21330</v>
      </c>
      <c r="M54" s="10">
        <f>O54-(B54+D54+F54+H54+J54+K54)</f>
        <v>47190</v>
      </c>
      <c r="N54" s="2">
        <f>O54-SUM(J54:M54)</f>
        <v>113380</v>
      </c>
      <c r="O54" s="9">
        <v>252290</v>
      </c>
      <c r="P54" s="2">
        <v>86800</v>
      </c>
      <c r="Q54" s="2"/>
      <c r="R54" s="15"/>
      <c r="S54" s="2"/>
      <c r="T54" s="15"/>
      <c r="U54" s="3"/>
    </row>
    <row r="55" spans="1:27">
      <c r="A55" s="12">
        <v>2013</v>
      </c>
      <c r="B55" s="2">
        <v>68550</v>
      </c>
      <c r="C55" s="2">
        <v>43400</v>
      </c>
      <c r="D55" s="10">
        <v>11540</v>
      </c>
      <c r="E55" s="2">
        <v>3150</v>
      </c>
      <c r="F55" s="9">
        <v>23230</v>
      </c>
      <c r="G55" s="2">
        <v>7930</v>
      </c>
      <c r="H55" s="10">
        <v>32730</v>
      </c>
      <c r="I55" s="2">
        <v>2990</v>
      </c>
      <c r="J55" s="29">
        <v>37060</v>
      </c>
      <c r="K55" s="10">
        <v>34200</v>
      </c>
      <c r="L55" s="2">
        <v>22440</v>
      </c>
      <c r="M55" s="10">
        <f>O55-(B55+D55+F55+H55+J55+K55)</f>
        <v>47760</v>
      </c>
      <c r="N55" s="2">
        <f>O55-SUM(J55:M55)</f>
        <v>113610</v>
      </c>
      <c r="O55" s="9">
        <v>255070</v>
      </c>
      <c r="P55" s="2">
        <v>87380</v>
      </c>
      <c r="Q55" s="2"/>
      <c r="R55" s="15"/>
      <c r="S55" s="2"/>
      <c r="T55" s="15"/>
      <c r="U55" s="3"/>
    </row>
    <row r="56" spans="1:27">
      <c r="A56" s="12">
        <v>2014</v>
      </c>
      <c r="B56" s="2">
        <v>68610</v>
      </c>
      <c r="C56" s="9">
        <v>44400</v>
      </c>
      <c r="D56" s="2">
        <v>11480</v>
      </c>
      <c r="E56" s="2">
        <v>3010</v>
      </c>
      <c r="F56" s="9">
        <v>23460</v>
      </c>
      <c r="G56" s="2">
        <v>8030</v>
      </c>
      <c r="H56" s="10">
        <v>33340</v>
      </c>
      <c r="I56" s="2">
        <v>3160</v>
      </c>
      <c r="J56" s="29">
        <v>38670</v>
      </c>
      <c r="K56" s="10">
        <v>34500</v>
      </c>
      <c r="L56" s="2">
        <v>23020</v>
      </c>
      <c r="M56" s="10">
        <f>O56-(B56+D56+F56+H56+J56+K56)</f>
        <v>48340</v>
      </c>
      <c r="N56" s="2">
        <f>O56-SUM(J56:M56)</f>
        <v>113870</v>
      </c>
      <c r="O56" s="9">
        <v>258400</v>
      </c>
      <c r="P56" s="2">
        <v>89170</v>
      </c>
      <c r="Q56" s="2"/>
      <c r="R56" s="15"/>
      <c r="S56" s="2"/>
      <c r="T56" s="15"/>
      <c r="U56" s="3"/>
    </row>
    <row r="57" spans="1:27">
      <c r="A57" s="12">
        <v>2015</v>
      </c>
      <c r="B57" s="10">
        <v>68050</v>
      </c>
      <c r="C57" s="9">
        <v>45320</v>
      </c>
      <c r="D57" s="10">
        <v>11470</v>
      </c>
      <c r="E57" s="2">
        <v>3190</v>
      </c>
      <c r="F57" s="9">
        <v>23870</v>
      </c>
      <c r="G57" s="2">
        <v>8030</v>
      </c>
      <c r="H57" s="16">
        <v>34480</v>
      </c>
      <c r="I57" s="2">
        <v>3120</v>
      </c>
      <c r="J57" s="30">
        <v>39730</v>
      </c>
      <c r="K57" s="16">
        <v>34720</v>
      </c>
      <c r="L57" s="2">
        <v>23390</v>
      </c>
      <c r="M57" s="10">
        <f>O57-(B57+D57+F57+H57+J57+K57)</f>
        <v>49790</v>
      </c>
      <c r="N57" s="2">
        <f>O57-SUM(J57:M57)</f>
        <v>114480</v>
      </c>
      <c r="O57" s="9">
        <v>262110</v>
      </c>
      <c r="P57" s="2">
        <v>90950</v>
      </c>
      <c r="Q57" s="2"/>
      <c r="R57" s="15"/>
      <c r="S57" s="2"/>
      <c r="T57" s="15"/>
      <c r="U57" s="3"/>
    </row>
    <row r="58" spans="1:27">
      <c r="A58" s="12">
        <v>2016</v>
      </c>
      <c r="B58" s="10">
        <v>67480</v>
      </c>
      <c r="C58" s="9">
        <v>45520</v>
      </c>
      <c r="D58" s="9">
        <v>12610</v>
      </c>
      <c r="E58" s="2">
        <v>3260</v>
      </c>
      <c r="F58" s="9">
        <v>24760</v>
      </c>
      <c r="G58" s="2">
        <v>8340</v>
      </c>
      <c r="H58" s="16">
        <v>34910</v>
      </c>
      <c r="I58" s="2">
        <v>3280</v>
      </c>
      <c r="J58" s="30">
        <v>40310</v>
      </c>
      <c r="K58" s="16">
        <v>34950</v>
      </c>
      <c r="L58" s="2">
        <v>25110</v>
      </c>
      <c r="M58" s="10">
        <f>O58-(B58+D58+F58+H58+J58+K58)</f>
        <v>53090</v>
      </c>
      <c r="N58" s="2">
        <f>O58-SUM(J58:M58)</f>
        <v>114650</v>
      </c>
      <c r="O58" s="9">
        <v>268110</v>
      </c>
      <c r="P58" s="2">
        <v>93650</v>
      </c>
      <c r="Q58" s="2"/>
      <c r="R58" s="15"/>
      <c r="S58" s="2"/>
      <c r="T58" s="15"/>
      <c r="U58" s="3"/>
    </row>
    <row r="59" spans="1:27">
      <c r="A59" s="12">
        <v>2017</v>
      </c>
      <c r="B59" s="10">
        <v>67010</v>
      </c>
      <c r="C59" s="9">
        <v>44170</v>
      </c>
      <c r="D59" s="9">
        <v>12300</v>
      </c>
      <c r="E59" s="2">
        <v>3070</v>
      </c>
      <c r="F59" s="9">
        <v>25220</v>
      </c>
      <c r="G59" s="2">
        <v>8480</v>
      </c>
      <c r="H59" s="16">
        <v>35410</v>
      </c>
      <c r="I59" s="2">
        <v>3000</v>
      </c>
      <c r="J59" s="30">
        <v>40670</v>
      </c>
      <c r="K59" s="16">
        <v>35180</v>
      </c>
      <c r="L59" s="2">
        <v>26990</v>
      </c>
      <c r="M59" s="10">
        <f>O59-(B59+D59+F59+H59+J59+K59)</f>
        <v>52870</v>
      </c>
      <c r="N59" s="2">
        <f>O59-SUM(J59:M59)</f>
        <v>112950</v>
      </c>
      <c r="O59" s="9">
        <v>268660</v>
      </c>
      <c r="P59" s="2">
        <v>93970</v>
      </c>
      <c r="Q59" s="2"/>
      <c r="R59" s="15"/>
      <c r="S59" s="2"/>
      <c r="T59" s="15"/>
      <c r="U59" s="3"/>
    </row>
    <row r="60" spans="1:27">
      <c r="A60" s="12">
        <v>2018</v>
      </c>
      <c r="B60" s="10">
        <v>67390</v>
      </c>
      <c r="C60" s="9">
        <v>45970</v>
      </c>
      <c r="D60" s="9">
        <v>12250</v>
      </c>
      <c r="E60" s="2">
        <v>3060</v>
      </c>
      <c r="F60" s="9">
        <v>25600</v>
      </c>
      <c r="G60" s="2">
        <v>8720</v>
      </c>
      <c r="H60" s="16">
        <v>35680</v>
      </c>
      <c r="I60" s="2">
        <v>3090</v>
      </c>
      <c r="J60" s="30">
        <v>63130</v>
      </c>
      <c r="K60" s="16">
        <v>35400</v>
      </c>
      <c r="L60" s="2">
        <v>24890</v>
      </c>
      <c r="M60" s="10">
        <f>O60-(B60+D60+F60+H60+J60+K60)</f>
        <v>52910</v>
      </c>
      <c r="N60" s="2">
        <f>O60-SUM(J60:M60)</f>
        <v>116030</v>
      </c>
      <c r="O60" s="9">
        <v>292360</v>
      </c>
      <c r="P60" s="2">
        <v>93980</v>
      </c>
      <c r="Q60" s="2"/>
      <c r="R60" s="15"/>
      <c r="S60" s="2"/>
      <c r="T60" s="15"/>
      <c r="U60" s="3"/>
    </row>
    <row r="61" spans="1:27">
      <c r="A61" s="12"/>
      <c r="B61" s="2"/>
      <c r="D61" s="10"/>
      <c r="E61" s="2"/>
      <c r="F61" s="9"/>
      <c r="G61" s="2"/>
      <c r="H61" s="10"/>
      <c r="I61" s="2"/>
      <c r="J61" s="12"/>
      <c r="K61" s="10"/>
      <c r="L61" s="2"/>
      <c r="M61" s="10"/>
      <c r="N61" s="2"/>
      <c r="O61" s="9"/>
      <c r="P61" s="2"/>
      <c r="Q61" s="2"/>
      <c r="R61" s="15"/>
      <c r="S61" s="2"/>
      <c r="T61" s="15"/>
      <c r="U61" s="3"/>
    </row>
    <row r="62" spans="1:27">
      <c r="A62" s="32" t="s">
        <v>1</v>
      </c>
    </row>
  </sheetData>
  <phoneticPr fontId="0" type="noConversion"/>
  <pageMargins left="0.5" right="0.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6C40-2FAE-43DE-B324-CB81AA410EAF}">
  <dimension ref="A1"/>
  <sheetViews>
    <sheetView workbookViewId="0"/>
  </sheetViews>
  <sheetFormatPr defaultRowHeight="12.75"/>
  <sheetData>
    <row r="1" spans="1:1">
      <c r="A1" s="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Citation</vt:lpstr>
    </vt:vector>
  </TitlesOfParts>
  <Company>McLaren/Hart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 Franklin</dc:creator>
  <cp:lastModifiedBy>Mary White</cp:lastModifiedBy>
  <cp:lastPrinted>2015-01-16T17:58:02Z</cp:lastPrinted>
  <dcterms:created xsi:type="dcterms:W3CDTF">1998-11-12T19:44:05Z</dcterms:created>
  <dcterms:modified xsi:type="dcterms:W3CDTF">2021-06-11T02:40:26Z</dcterms:modified>
</cp:coreProperties>
</file>