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f37115430433ad1/Documents/3. Data Boot Camp/Crowd Funding Analysis/"/>
    </mc:Choice>
  </mc:AlternateContent>
  <xr:revisionPtr revIDLastSave="2" documentId="8_{2908082A-F5D0-41E4-AACB-AAFCE4DCCF7E}" xr6:coauthVersionLast="47" xr6:coauthVersionMax="47" xr10:uidLastSave="{CE5B250B-D8BC-46B7-A5FC-28496368CC73}"/>
  <bookViews>
    <workbookView xWindow="-28920" yWindow="-120" windowWidth="29040" windowHeight="15840" activeTab="1" xr2:uid="{00000000-000D-0000-FFFF-FFFF00000000}"/>
  </bookViews>
  <sheets>
    <sheet name="Kickstarter" sheetId="1" r:id="rId1"/>
    <sheet name="Outcomes Based on Goals" sheetId="11" r:id="rId2"/>
    <sheet name="Theater Outcomes by Launch Date" sheetId="10" r:id="rId3"/>
    <sheet name="Chart1" sheetId="9" r:id="rId4"/>
    <sheet name="Descriptive Statistics" sheetId="8" r:id="rId5"/>
    <sheet name="Edinburgh ResearchNam" sheetId="5" r:id="rId6"/>
    <sheet name="Outcomes Based on Launch Date" sheetId="4" r:id="rId7"/>
    <sheet name="Category Statistics" sheetId="2" r:id="rId8"/>
    <sheet name="Subcategory Statistics" sheetId="3" r:id="rId9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0" i="11" l="1"/>
  <c r="I10" i="11"/>
  <c r="H11" i="11"/>
  <c r="I11" i="11"/>
  <c r="H12" i="11"/>
  <c r="I12" i="11"/>
  <c r="H13" i="11"/>
  <c r="I13" i="11"/>
  <c r="H14" i="11"/>
  <c r="I14" i="11"/>
  <c r="H9" i="11"/>
  <c r="I9" i="11"/>
  <c r="H8" i="11"/>
  <c r="I8" i="11"/>
  <c r="H7" i="11"/>
  <c r="I7" i="11"/>
  <c r="H6" i="11"/>
  <c r="I6" i="11"/>
  <c r="H5" i="11"/>
  <c r="I5" i="11"/>
  <c r="H4" i="11"/>
  <c r="I4" i="11"/>
  <c r="G4" i="11"/>
  <c r="G5" i="11"/>
  <c r="G6" i="11"/>
  <c r="G7" i="11"/>
  <c r="G8" i="11"/>
  <c r="G9" i="11"/>
  <c r="G10" i="11"/>
  <c r="G11" i="11"/>
  <c r="G12" i="11"/>
  <c r="G13" i="11"/>
  <c r="G14" i="11"/>
  <c r="G3" i="11"/>
  <c r="H3" i="11"/>
  <c r="I3" i="11"/>
  <c r="F4" i="11"/>
  <c r="F5" i="11"/>
  <c r="F6" i="11"/>
  <c r="F7" i="11"/>
  <c r="F8" i="11"/>
  <c r="F9" i="11"/>
  <c r="F10" i="11"/>
  <c r="F11" i="11"/>
  <c r="F12" i="11"/>
  <c r="F13" i="11"/>
  <c r="F14" i="11"/>
  <c r="F3" i="11"/>
  <c r="E14" i="11"/>
  <c r="E13" i="11"/>
  <c r="E12" i="11"/>
  <c r="E11" i="11"/>
  <c r="E10" i="11"/>
  <c r="E9" i="11"/>
  <c r="E8" i="11"/>
  <c r="E7" i="11"/>
  <c r="E6" i="11"/>
  <c r="D7" i="11"/>
  <c r="D8" i="11"/>
  <c r="D9" i="11"/>
  <c r="D10" i="11"/>
  <c r="D11" i="11"/>
  <c r="D12" i="11"/>
  <c r="D13" i="11"/>
  <c r="D14" i="11"/>
  <c r="E5" i="11"/>
  <c r="D6" i="11"/>
  <c r="D5" i="11"/>
  <c r="C7" i="11"/>
  <c r="C8" i="11"/>
  <c r="C9" i="11"/>
  <c r="C10" i="11"/>
  <c r="C11" i="11"/>
  <c r="C12" i="11"/>
  <c r="C13" i="11"/>
  <c r="C14" i="11"/>
  <c r="C6" i="11"/>
  <c r="E4" i="11"/>
  <c r="D4" i="11"/>
  <c r="C4" i="11"/>
  <c r="E3" i="11"/>
  <c r="D3" i="11"/>
  <c r="C5" i="11"/>
  <c r="C3" i="11"/>
  <c r="B12" i="8"/>
  <c r="B13" i="8"/>
  <c r="C13" i="8"/>
  <c r="C12" i="8"/>
  <c r="C11" i="8"/>
  <c r="B11" i="8"/>
  <c r="C6" i="8"/>
  <c r="C5" i="8"/>
  <c r="C4" i="8"/>
  <c r="B6" i="8"/>
  <c r="B5" i="8"/>
  <c r="B7" i="8" s="1"/>
  <c r="B4" i="8"/>
  <c r="B10" i="8"/>
  <c r="B9" i="8"/>
  <c r="C10" i="8"/>
  <c r="C9" i="8"/>
  <c r="B2" i="8"/>
  <c r="C3" i="8"/>
  <c r="B3" i="8"/>
  <c r="C2" i="8"/>
  <c r="D3" i="5"/>
  <c r="D4" i="5"/>
  <c r="D5" i="5"/>
  <c r="D6" i="5"/>
  <c r="C3" i="5"/>
  <c r="C4" i="5"/>
  <c r="C5" i="5"/>
  <c r="C6" i="5"/>
  <c r="C2" i="5"/>
  <c r="D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B14" i="8" l="1"/>
  <c r="C14" i="8"/>
  <c r="C7" i="8"/>
</calcChain>
</file>

<file path=xl/sharedStrings.xml><?xml version="1.0" encoding="utf-8"?>
<sst xmlns="http://schemas.openxmlformats.org/spreadsheetml/2006/main" count="33046" uniqueCount="8412">
  <si>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</si>
  <si>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</si>
  <si>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</si>
  <si>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</si>
  <si>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</si>
  <si>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</si>
  <si>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</si>
  <si>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</si>
  <si>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</si>
  <si>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</si>
  <si>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</si>
  <si>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</si>
  <si>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</si>
  <si>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</si>
  <si>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</si>
  <si>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</si>
  <si>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</si>
  <si>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</si>
  <si>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</si>
  <si>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</si>
  <si>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</si>
  <si>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</si>
  <si>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</si>
  <si>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</si>
  <si>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</si>
  <si>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</si>
  <si>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</si>
  <si>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</si>
  <si>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</si>
  <si>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</si>
  <si>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</si>
  <si>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</si>
  <si>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</si>
  <si>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</si>
  <si>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</si>
  <si>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</si>
  <si>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</si>
  <si>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</si>
  <si>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</si>
  <si>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</si>
  <si>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</si>
  <si>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</si>
  <si>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</si>
  <si>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</si>
  <si>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</si>
  <si>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</si>
  <si>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</si>
  <si>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</si>
  <si>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</si>
  <si>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</si>
  <si>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</si>
  <si>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</si>
  <si>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</si>
  <si>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</si>
  <si>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</si>
  <si>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</si>
  <si>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</si>
  <si>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</si>
  <si>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</si>
  <si>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</si>
  <si>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</si>
  <si>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</si>
  <si>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</si>
  <si>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</si>
  <si>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</si>
  <si>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</si>
  <si>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</si>
  <si>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</si>
  <si>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</si>
  <si>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</si>
  <si>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</si>
  <si>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</si>
  <si>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</si>
  <si>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</si>
  <si>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</si>
  <si>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</si>
  <si>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</si>
  <si>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</si>
  <si>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</si>
  <si>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</si>
  <si>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</si>
  <si>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</si>
  <si>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</si>
  <si>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</si>
  <si>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</si>
  <si>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</si>
  <si>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</si>
  <si>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</si>
  <si>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</si>
  <si>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</si>
  <si>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</si>
  <si>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</si>
  <si>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</si>
  <si>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</si>
  <si>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</si>
  <si>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</si>
  <si>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</si>
  <si>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</si>
  <si>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</si>
  <si>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</si>
  <si>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</si>
  <si>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</si>
  <si>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</si>
  <si>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</si>
  <si>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</si>
  <si>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</si>
  <si>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</si>
  <si>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</si>
  <si>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</si>
  <si>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</si>
  <si>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</si>
  <si>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</si>
  <si>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</si>
  <si>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</si>
  <si>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</si>
  <si>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</si>
  <si>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</si>
  <si>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</si>
  <si>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</si>
  <si>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</si>
  <si>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</si>
  <si>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</si>
  <si>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</si>
  <si>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</si>
  <si>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</si>
  <si>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</si>
  <si>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</si>
  <si>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</si>
  <si>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</si>
  <si>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</si>
  <si>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</si>
  <si>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</si>
  <si>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</si>
  <si>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</si>
  <si>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</si>
  <si>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</si>
  <si>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</si>
  <si>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</si>
  <si>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</si>
  <si>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</si>
  <si>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</si>
  <si>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</si>
  <si>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</si>
  <si>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</si>
  <si>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</si>
  <si>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</si>
  <si>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</si>
  <si>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</si>
  <si>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</si>
  <si>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</si>
  <si>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</si>
  <si>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</si>
  <si>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</si>
  <si>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</si>
  <si>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</si>
  <si>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</si>
  <si>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</si>
  <si>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</si>
  <si>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</si>
  <si>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</si>
  <si>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</si>
  <si>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</si>
  <si>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</si>
  <si>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</si>
  <si>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</si>
  <si>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</si>
  <si>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</si>
  <si>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</si>
  <si>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</si>
  <si>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</si>
  <si>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</si>
  <si>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</si>
  <si>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</si>
  <si>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</si>
  <si>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</si>
  <si>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</si>
  <si>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</si>
  <si>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</si>
  <si>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</si>
  <si>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</si>
  <si>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</si>
  <si>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</si>
  <si>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</si>
  <si>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</si>
  <si>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</si>
  <si>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</si>
  <si>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</si>
  <si>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</si>
  <si>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</si>
  <si>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</si>
  <si>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</si>
  <si>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</si>
  <si>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</si>
  <si>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</si>
  <si>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</si>
  <si>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</si>
  <si>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</si>
  <si>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</si>
  <si>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</si>
  <si>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</si>
  <si>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</si>
  <si>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</si>
  <si>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</si>
  <si>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</si>
  <si>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</si>
  <si>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</si>
  <si>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</si>
  <si>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</si>
  <si>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</si>
  <si>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</si>
  <si>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</si>
  <si>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</si>
  <si>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</si>
  <si>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</si>
  <si>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</si>
  <si>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</si>
  <si>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</si>
  <si>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</si>
  <si>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</si>
  <si>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</si>
  <si>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</si>
  <si>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</si>
  <si>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</si>
  <si>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</si>
  <si>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</si>
  <si>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</si>
  <si>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</si>
  <si>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</si>
  <si>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</si>
  <si>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</si>
  <si>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</si>
  <si>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</si>
  <si>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</si>
  <si>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</si>
  <si>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</si>
  <si>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</si>
  <si>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</si>
  <si>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</si>
  <si>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</si>
  <si>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</si>
  <si>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</si>
  <si>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</si>
  <si>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</si>
  <si>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</si>
  <si>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</si>
  <si>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</si>
  <si>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</si>
  <si>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</si>
  <si>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</si>
  <si>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</si>
  <si>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</si>
  <si>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</si>
  <si>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</si>
  <si>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</si>
  <si>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</si>
  <si>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</si>
  <si>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</si>
  <si>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</si>
  <si>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</si>
  <si>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</si>
  <si>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</si>
  <si>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</si>
  <si>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</si>
  <si>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</si>
  <si>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</si>
  <si>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</si>
  <si>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</si>
  <si>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</si>
  <si>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</si>
  <si>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</si>
  <si>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</si>
  <si>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</si>
  <si>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</si>
  <si>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</si>
  <si>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</si>
  <si>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</si>
  <si>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</si>
  <si>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</si>
  <si>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</si>
  <si>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</si>
  <si>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</si>
  <si>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</si>
  <si>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</si>
  <si>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</si>
  <si>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</si>
  <si>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</si>
  <si>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</si>
  <si>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</si>
  <si>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</si>
  <si>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</si>
  <si>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</si>
  <si>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</si>
  <si>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</si>
  <si>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</si>
  <si>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</si>
  <si>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</si>
  <si>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</si>
  <si>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</si>
  <si>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</si>
  <si>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</si>
  <si>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</si>
  <si>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</si>
  <si>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</si>
  <si>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</si>
  <si>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</si>
  <si>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</si>
  <si>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</si>
  <si>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</si>
  <si>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</si>
  <si>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</si>
  <si>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</si>
  <si>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</si>
  <si>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</si>
  <si>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</si>
  <si>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</si>
  <si>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</si>
  <si>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</si>
  <si>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</si>
  <si>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</si>
  <si>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</si>
  <si>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</si>
  <si>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</si>
  <si>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</si>
  <si>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</si>
  <si>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</si>
  <si>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</si>
  <si>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</si>
  <si>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</si>
  <si>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</si>
  <si>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</si>
  <si>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</si>
  <si>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</si>
  <si>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</si>
  <si>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</si>
  <si>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</si>
  <si>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</si>
  <si>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</si>
  <si>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</si>
  <si>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</si>
  <si>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</si>
  <si>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</si>
  <si>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</si>
  <si>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</si>
  <si>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</si>
  <si>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</si>
  <si>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</si>
  <si>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</si>
  <si>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</si>
  <si>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</si>
  <si>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</si>
  <si>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</si>
  <si>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</si>
  <si>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</si>
  <si>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</si>
  <si>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</si>
  <si>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</si>
  <si>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</si>
  <si>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</si>
  <si>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</si>
  <si>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</si>
  <si>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</si>
  <si>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</si>
  <si>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</si>
  <si>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</si>
  <si>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</si>
  <si>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</si>
  <si>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</si>
  <si>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</si>
  <si>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</si>
  <si>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</si>
  <si>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</si>
  <si>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</si>
  <si>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</si>
  <si>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</si>
  <si>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</si>
  <si>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</si>
  <si>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</si>
  <si>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</si>
  <si>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</si>
  <si>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</si>
  <si>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</si>
  <si>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</si>
  <si>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</si>
  <si>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</si>
  <si>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</si>
  <si>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</si>
  <si>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</si>
  <si>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</si>
  <si>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</si>
  <si>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</si>
  <si>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</si>
  <si>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</si>
  <si>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</si>
  <si>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</si>
  <si>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</si>
  <si>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</si>
  <si>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</si>
  <si>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</si>
  <si>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</si>
  <si>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</si>
  <si>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</si>
  <si>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</si>
  <si>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</si>
  <si>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</si>
  <si>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</si>
  <si>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</si>
  <si>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</si>
  <si>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</si>
  <si>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</si>
  <si>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</si>
  <si>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</si>
  <si>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</si>
  <si>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</si>
  <si>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</si>
  <si>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</si>
  <si>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</si>
  <si>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</si>
  <si>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</si>
  <si>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</si>
  <si>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</si>
  <si>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</si>
  <si>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</si>
  <si>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</si>
  <si>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</si>
  <si>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</si>
  <si>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</si>
  <si>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</si>
  <si>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</si>
  <si>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</si>
  <si>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</si>
  <si>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</si>
  <si>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</si>
  <si>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</si>
  <si>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</si>
  <si>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</si>
  <si>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</si>
  <si>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</si>
  <si>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</si>
  <si>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</si>
  <si>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</si>
  <si>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</si>
  <si>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</si>
  <si>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</si>
  <si>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</si>
  <si>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</si>
  <si>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</si>
  <si>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</si>
  <si>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</si>
  <si>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</si>
  <si>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</si>
  <si>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</si>
  <si>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</si>
  <si>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</si>
  <si>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</si>
  <si>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</si>
  <si>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</si>
  <si>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</si>
  <si>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</si>
  <si>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</si>
  <si>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</si>
  <si>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</si>
  <si>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</si>
  <si>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</si>
  <si>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</si>
  <si>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</si>
  <si>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</si>
  <si>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</si>
  <si>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</si>
  <si>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</si>
  <si>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</si>
  <si>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</si>
  <si>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</si>
  <si>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</si>
  <si>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</si>
  <si>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</si>
  <si>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</si>
  <si>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</si>
  <si>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</si>
  <si>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</si>
  <si>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</si>
  <si>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</si>
  <si>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</si>
  <si>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</si>
  <si>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</si>
  <si>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</si>
  <si>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</si>
  <si>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</si>
  <si>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</si>
  <si>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</si>
  <si>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</si>
  <si>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</si>
  <si>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</si>
  <si>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</si>
  <si>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</si>
  <si>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</si>
  <si>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</si>
  <si>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</si>
  <si>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</si>
  <si>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</si>
  <si>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</si>
  <si>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</si>
  <si>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</si>
  <si>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</si>
  <si>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</si>
  <si>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</si>
  <si>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</si>
  <si>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</si>
  <si>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</si>
  <si>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</si>
  <si>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</si>
  <si>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</si>
  <si>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</si>
  <si>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</si>
  <si>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</si>
  <si>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</si>
  <si>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</si>
  <si>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</si>
  <si>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</si>
  <si>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</si>
  <si>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</si>
  <si>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</si>
  <si>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</si>
  <si>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</si>
  <si>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</si>
  <si>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</si>
  <si>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</si>
  <si>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</si>
  <si>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</si>
  <si>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</si>
  <si>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</si>
  <si>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</si>
  <si>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</si>
  <si>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</si>
  <si>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</si>
  <si>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</si>
  <si>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</si>
  <si>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</si>
  <si>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</si>
  <si>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</si>
  <si>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</si>
  <si>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</si>
  <si>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</si>
  <si>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</si>
  <si>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</si>
  <si>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</si>
  <si>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</si>
  <si>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</si>
  <si>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</si>
  <si>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</si>
  <si>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</si>
  <si>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</si>
  <si>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</si>
  <si>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</si>
  <si>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</si>
  <si>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</si>
  <si>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</si>
  <si>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</si>
  <si>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</si>
  <si>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</si>
  <si>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</si>
  <si>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</si>
  <si>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</si>
  <si>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</si>
  <si>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</si>
  <si>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</si>
  <si>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</si>
  <si>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</si>
  <si>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</si>
  <si>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</si>
  <si>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</si>
  <si>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</si>
  <si>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</si>
  <si>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</si>
  <si>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</si>
  <si>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</si>
  <si>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</si>
  <si>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</si>
  <si>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</si>
  <si>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</si>
  <si>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</si>
  <si>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</si>
  <si>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</si>
  <si>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</si>
  <si>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</si>
  <si>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</si>
  <si>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</si>
  <si>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</si>
  <si>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</si>
  <si>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</si>
  <si>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</si>
  <si>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</si>
  <si>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</si>
  <si>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</si>
  <si>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</si>
  <si>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</si>
  <si>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</si>
  <si>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</si>
  <si>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</si>
  <si>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</si>
  <si>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</si>
  <si>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</si>
  <si>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</si>
  <si>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</si>
  <si>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</si>
  <si>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</si>
  <si>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</si>
  <si>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</si>
  <si>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</si>
  <si>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</si>
  <si>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</si>
  <si>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</si>
  <si>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</si>
  <si>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</si>
  <si>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</si>
  <si>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</si>
  <si>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</si>
  <si>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</si>
  <si>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</si>
  <si>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</si>
  <si>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</si>
  <si>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</si>
  <si>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</si>
  <si>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</si>
  <si>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</si>
  <si>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</si>
  <si>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</si>
  <si>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</si>
  <si>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</si>
  <si>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</si>
  <si>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</si>
  <si>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</si>
  <si>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</si>
  <si>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</si>
  <si>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</si>
  <si>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</si>
  <si>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</si>
  <si>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</si>
  <si>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</si>
  <si>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</si>
  <si>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</si>
  <si>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</si>
  <si>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</si>
  <si>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</si>
  <si>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</si>
  <si>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</si>
  <si>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</si>
  <si>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</si>
  <si>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</si>
  <si>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</si>
  <si>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</si>
  <si>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</si>
  <si>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</si>
  <si>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</si>
  <si>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</si>
  <si>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</si>
  <si>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</si>
  <si>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</si>
  <si>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</si>
  <si>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</si>
  <si>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</si>
  <si>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</si>
  <si>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</si>
  <si>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</si>
  <si>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</si>
  <si>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</si>
  <si>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</si>
  <si>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</si>
  <si>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</si>
  <si>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</si>
  <si>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</si>
  <si>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</si>
  <si>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</si>
  <si>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</si>
  <si>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</si>
  <si>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</si>
  <si>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</si>
  <si>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</si>
  <si>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</si>
  <si>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</si>
  <si>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</si>
  <si>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</si>
  <si>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</si>
  <si>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</si>
  <si>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</si>
  <si>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</si>
  <si>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</si>
  <si>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</si>
  <si>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</si>
  <si>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</si>
  <si>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</si>
  <si>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</si>
  <si>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</si>
  <si>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</si>
  <si>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</si>
  <si>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</si>
  <si>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</si>
  <si>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</si>
  <si>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</si>
  <si>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</si>
  <si>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</si>
  <si>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</si>
  <si>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</si>
  <si>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</si>
  <si>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</si>
  <si>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</si>
  <si>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</si>
  <si>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</si>
  <si>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</si>
  <si>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</si>
  <si>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</si>
  <si>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</si>
  <si>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</si>
  <si>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</si>
  <si>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</si>
  <si>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</si>
  <si>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</si>
  <si>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</si>
  <si>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</si>
  <si>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</si>
  <si>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</si>
  <si>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</si>
  <si>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</si>
  <si>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</si>
  <si>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</si>
  <si>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</si>
  <si>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</si>
  <si>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</si>
  <si>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</si>
  <si>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</si>
  <si>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</si>
  <si>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</si>
  <si>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</si>
  <si>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</si>
  <si>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</si>
  <si>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</si>
  <si>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</si>
  <si>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</si>
  <si>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</si>
  <si>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</si>
  <si>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</si>
  <si>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</si>
  <si>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</si>
  <si>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</si>
  <si>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</si>
  <si>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</si>
  <si>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</si>
  <si>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</si>
  <si>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</si>
  <si>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</si>
  <si>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</si>
  <si>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</si>
  <si>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</si>
  <si>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</si>
  <si>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</si>
  <si>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</si>
  <si>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</si>
  <si>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</si>
  <si>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</si>
  <si>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</si>
  <si>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</si>
  <si>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</si>
  <si>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</si>
  <si>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</si>
  <si>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</si>
  <si>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</si>
  <si>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</si>
  <si>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</si>
  <si>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</si>
  <si>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</si>
  <si>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</si>
  <si>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</si>
  <si>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</si>
  <si>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</si>
  <si>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</si>
  <si>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</si>
  <si>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</si>
  <si>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</si>
  <si>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</si>
  <si>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</si>
  <si>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</si>
  <si>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</si>
  <si>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</si>
  <si>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</si>
  <si>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</si>
  <si>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</si>
  <si>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</si>
  <si>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</si>
  <si>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</si>
  <si>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</si>
  <si>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</si>
  <si>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</si>
  <si>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</si>
  <si>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</si>
  <si>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</si>
  <si>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</si>
  <si>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</si>
  <si>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</si>
  <si>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</si>
  <si>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</si>
  <si>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</si>
  <si>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</si>
  <si>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</si>
  <si>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</si>
  <si>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</si>
  <si>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</si>
  <si>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</si>
  <si>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</si>
  <si>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</si>
  <si>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</si>
  <si>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</si>
  <si>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</si>
  <si>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</si>
  <si>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</si>
  <si>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</si>
  <si>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</si>
  <si>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</si>
  <si>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</si>
  <si>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</si>
  <si>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</si>
  <si>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</si>
  <si>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</si>
  <si>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</si>
  <si>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</si>
  <si>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</si>
  <si>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</si>
  <si>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</si>
  <si>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</si>
  <si>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</si>
  <si>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</si>
  <si>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</si>
  <si>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</si>
  <si>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</si>
  <si>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</si>
  <si>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</si>
  <si>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</si>
  <si>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</si>
  <si>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</si>
  <si>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</si>
  <si>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</si>
  <si>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</si>
  <si>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</si>
  <si>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</si>
  <si>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</si>
  <si>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</si>
  <si>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</si>
  <si>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</si>
  <si>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</si>
  <si>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</si>
  <si>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</si>
  <si>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</si>
  <si>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</si>
  <si>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</si>
  <si>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</si>
  <si>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</si>
  <si>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</si>
  <si>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</si>
  <si>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</si>
  <si>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</si>
  <si>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</si>
  <si>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</si>
  <si>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</si>
  <si>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</si>
  <si>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</si>
  <si>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</si>
  <si>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</si>
  <si>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</si>
  <si>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</si>
  <si>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</si>
  <si>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</si>
  <si>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</si>
  <si>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</si>
  <si>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</si>
  <si>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</si>
  <si>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</si>
  <si>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</si>
  <si>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</si>
  <si>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</si>
  <si>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</si>
  <si>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</si>
  <si>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</si>
  <si>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</si>
  <si>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</si>
  <si>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</si>
  <si>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</si>
  <si>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</si>
  <si>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</si>
  <si>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</si>
  <si>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</si>
  <si>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</si>
  <si>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</si>
  <si>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</si>
  <si>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</si>
  <si>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</si>
  <si>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</si>
  <si>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</si>
  <si>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</si>
  <si>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</si>
  <si>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</si>
  <si>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</si>
  <si>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</si>
  <si>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</si>
  <si>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</si>
  <si>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</si>
  <si>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</si>
  <si>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</si>
  <si>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</si>
  <si>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</si>
  <si>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</si>
  <si>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</si>
  <si>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</si>
  <si>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</si>
  <si>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</si>
  <si>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</si>
  <si>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</si>
  <si>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</si>
  <si>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</si>
  <si>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</si>
  <si>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</si>
  <si>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</si>
  <si>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</si>
  <si>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</si>
  <si>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</si>
  <si>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</si>
  <si>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</si>
  <si>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</si>
  <si>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</si>
  <si>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</si>
  <si>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</si>
  <si>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</si>
  <si>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</si>
  <si>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</si>
  <si>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</si>
  <si>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</si>
  <si>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</si>
  <si>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</si>
  <si>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</si>
  <si>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</si>
  <si>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</si>
  <si>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</si>
  <si>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</si>
  <si>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</si>
  <si>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</si>
  <si>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</si>
  <si>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</si>
  <si>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</si>
  <si>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</si>
  <si>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</si>
  <si>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</si>
  <si>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</si>
  <si>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</si>
  <si>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</si>
  <si>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</si>
  <si>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</si>
  <si>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</si>
  <si>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</si>
  <si>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</si>
  <si>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</si>
  <si>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</si>
  <si>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</si>
  <si>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</si>
  <si>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</si>
  <si>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</si>
  <si>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</si>
  <si>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</si>
  <si>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</si>
  <si>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</si>
  <si>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</si>
  <si>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</si>
  <si>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</si>
  <si>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</si>
  <si>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</si>
  <si>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</si>
  <si>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</si>
  <si>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</si>
  <si>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</si>
  <si>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</si>
  <si>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</si>
  <si>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</si>
  <si>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</si>
  <si>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</si>
  <si>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</si>
  <si>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</si>
  <si>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</si>
  <si>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</si>
  <si>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</si>
  <si>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</si>
  <si>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</si>
  <si>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</si>
  <si>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</si>
  <si>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</si>
  <si>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</si>
  <si>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</si>
  <si>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</si>
  <si>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</si>
  <si>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</si>
  <si>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</si>
  <si>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</si>
  <si>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</si>
  <si>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</si>
  <si>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</si>
  <si>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</si>
  <si>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</si>
  <si>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</si>
  <si>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</si>
  <si>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</si>
  <si>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</si>
  <si>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</si>
  <si>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</si>
  <si>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</si>
  <si>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</si>
  <si>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</si>
  <si>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</si>
  <si>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</si>
  <si>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</si>
  <si>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</si>
  <si>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</si>
  <si>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</si>
  <si>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</si>
  <si>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</si>
  <si>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</si>
  <si>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</si>
  <si>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</si>
  <si>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</si>
  <si>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</si>
  <si>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</si>
  <si>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</si>
  <si>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</si>
  <si>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</si>
  <si>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</si>
  <si>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</si>
  <si>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</si>
  <si>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</si>
  <si>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</si>
  <si>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</si>
  <si>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</si>
  <si>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</si>
  <si>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</si>
  <si>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</si>
  <si>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</si>
  <si>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</si>
  <si>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</si>
  <si>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</si>
  <si>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</si>
  <si>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</si>
  <si>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</si>
  <si>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</si>
  <si>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</si>
  <si>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</si>
  <si>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</si>
  <si>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</si>
  <si>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</si>
  <si>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</si>
  <si>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</si>
  <si>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</si>
  <si>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</si>
  <si>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</si>
  <si>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</si>
  <si>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</si>
  <si>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</si>
  <si>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</si>
  <si>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</si>
  <si>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</si>
  <si>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</si>
  <si>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</si>
  <si>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</si>
  <si>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</si>
  <si>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</si>
  <si>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</si>
  <si>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</si>
  <si>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</si>
  <si>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</si>
  <si>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</si>
  <si>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</si>
  <si>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</si>
  <si>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</si>
  <si>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</si>
  <si>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</si>
  <si>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</si>
  <si>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</si>
  <si>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</si>
  <si>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</si>
  <si>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</si>
  <si>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</si>
  <si>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</si>
  <si>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</si>
  <si>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</si>
  <si>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</si>
  <si>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</si>
  <si>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</si>
  <si>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</si>
  <si>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</si>
  <si>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</si>
  <si>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</si>
  <si>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</si>
  <si>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</si>
  <si>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</si>
  <si>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</si>
  <si>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</si>
  <si>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</si>
  <si>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</si>
  <si>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</si>
  <si>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</si>
  <si>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</si>
  <si>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</si>
  <si>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</si>
  <si>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</si>
  <si>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</si>
  <si>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</si>
  <si>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</si>
  <si>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</si>
  <si>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</si>
  <si>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</si>
  <si>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</si>
  <si>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</si>
  <si>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</si>
  <si>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</si>
  <si>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</si>
  <si>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</si>
  <si>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</si>
  <si>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</si>
  <si>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</si>
  <si>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</si>
  <si>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</si>
  <si>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</si>
  <si>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</si>
  <si>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</si>
  <si>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</si>
  <si>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</si>
  <si>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</si>
  <si>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</si>
  <si>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</si>
  <si>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</si>
  <si>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</si>
  <si>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</si>
  <si>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</si>
  <si>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</si>
  <si>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</si>
  <si>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</si>
  <si>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</si>
  <si>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</si>
  <si>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</si>
  <si>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</si>
  <si>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</si>
  <si>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</si>
  <si>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</si>
  <si>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</si>
  <si>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</si>
  <si>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</si>
  <si>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</si>
  <si>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</si>
  <si>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</si>
  <si>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</si>
  <si>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</si>
  <si>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</si>
  <si>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</si>
  <si>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</si>
  <si>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</si>
  <si>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</si>
  <si>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</si>
  <si>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</si>
  <si>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</si>
  <si>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</si>
  <si>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</si>
  <si>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</si>
  <si>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</si>
  <si>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</si>
  <si>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</si>
  <si>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</si>
  <si>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</si>
  <si>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</si>
  <si>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</si>
  <si>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</si>
  <si>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</si>
  <si>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</si>
  <si>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</si>
  <si>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</si>
  <si>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</si>
  <si>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</si>
  <si>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</si>
  <si>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</si>
  <si>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</si>
  <si>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</si>
  <si>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</si>
  <si>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</si>
  <si>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</si>
  <si>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</si>
  <si>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</si>
  <si>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</si>
  <si>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</si>
  <si>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</si>
  <si>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</si>
  <si>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</si>
  <si>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</si>
  <si>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</si>
  <si>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</si>
  <si>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</si>
  <si>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</si>
  <si>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</si>
  <si>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</si>
  <si>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</si>
  <si>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</si>
  <si>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</si>
  <si>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</si>
  <si>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</si>
  <si>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</si>
  <si>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</si>
  <si>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</si>
  <si>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</si>
  <si>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</si>
  <si>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</si>
  <si>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</si>
  <si>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</si>
  <si>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</si>
  <si>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</si>
  <si>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</si>
  <si>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</si>
  <si>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</si>
  <si>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</si>
  <si>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</si>
  <si>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</si>
  <si>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</si>
  <si>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</si>
  <si>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</si>
  <si>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</si>
  <si>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</si>
  <si>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</si>
  <si>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</si>
  <si>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</si>
  <si>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</si>
  <si>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</si>
  <si>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</si>
  <si>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</si>
  <si>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</si>
  <si>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</si>
  <si>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</si>
  <si>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</si>
  <si>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</si>
  <si>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</si>
  <si>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</si>
  <si>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</si>
  <si>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</si>
  <si>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</si>
  <si>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</si>
  <si>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</si>
  <si>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</si>
  <si>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</si>
  <si>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</si>
  <si>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</si>
  <si>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</si>
  <si>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</si>
  <si>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</si>
  <si>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</si>
  <si>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</si>
  <si>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</si>
  <si>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</si>
  <si>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</si>
  <si>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</si>
  <si>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</si>
  <si>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</si>
  <si>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</si>
  <si>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</si>
  <si>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</si>
  <si>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</si>
  <si>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</si>
  <si>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</si>
  <si>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</si>
  <si>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</si>
  <si>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</si>
  <si>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</si>
  <si>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</si>
  <si>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</si>
  <si>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</si>
  <si>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</si>
  <si>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</si>
  <si>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</si>
  <si>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</si>
  <si>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</si>
  <si>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</si>
  <si>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</si>
  <si>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</si>
  <si>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</si>
  <si>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</si>
  <si>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</si>
  <si>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</si>
  <si>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</si>
  <si>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</si>
  <si>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</si>
  <si>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</si>
  <si>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</si>
  <si>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</si>
  <si>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</si>
  <si>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</si>
  <si>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</si>
  <si>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</si>
  <si>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</si>
  <si>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</si>
  <si>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</si>
  <si>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</si>
  <si>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</si>
  <si>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</si>
  <si>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</si>
  <si>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</si>
  <si>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</si>
  <si>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</si>
  <si>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</si>
  <si>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</si>
  <si>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</si>
  <si>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</si>
  <si>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</si>
  <si>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</si>
  <si>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</si>
  <si>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</si>
  <si>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</si>
  <si>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</si>
  <si>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</si>
  <si>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</si>
  <si>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</si>
  <si>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</si>
  <si>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</si>
  <si>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</si>
  <si>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</si>
  <si>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</si>
  <si>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</si>
  <si>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</si>
  <si>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</si>
  <si>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</si>
  <si>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</si>
  <si>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</si>
  <si>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</si>
  <si>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</si>
  <si>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</si>
  <si>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</si>
  <si>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</si>
  <si>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</si>
  <si>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</si>
  <si>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</si>
  <si>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</si>
  <si>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</si>
  <si>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</si>
  <si>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</si>
  <si>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</si>
  <si>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</si>
  <si>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</si>
  <si>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</si>
  <si>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</si>
  <si>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</si>
  <si>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</si>
  <si>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</si>
  <si>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</si>
  <si>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</si>
  <si>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</si>
  <si>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</si>
  <si>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</si>
  <si>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</si>
  <si>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</si>
  <si>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</si>
  <si>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</si>
  <si>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</si>
  <si>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</si>
  <si>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</si>
  <si>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</si>
  <si>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</si>
  <si>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</si>
  <si>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</si>
  <si>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</si>
  <si>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</si>
  <si>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</si>
  <si>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</si>
  <si>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</si>
  <si>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</si>
  <si>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</si>
  <si>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</si>
  <si>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</si>
  <si>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</si>
  <si>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</si>
  <si>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</si>
  <si>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</si>
  <si>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</si>
  <si>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</si>
  <si>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</si>
  <si>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</si>
  <si>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</si>
  <si>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</si>
  <si>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</si>
  <si>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</si>
  <si>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</si>
  <si>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</si>
  <si>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</si>
  <si>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</si>
  <si>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</si>
  <si>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</si>
  <si>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</si>
  <si>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</si>
  <si>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</si>
  <si>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</si>
  <si>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</si>
  <si>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</si>
  <si>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</si>
  <si>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</si>
  <si>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</si>
  <si>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</si>
  <si>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</si>
  <si>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</si>
  <si>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</si>
  <si>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</si>
  <si>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</si>
  <si>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</si>
  <si>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</si>
  <si>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</si>
  <si>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</si>
  <si>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</si>
  <si>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</si>
  <si>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</si>
  <si>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</si>
  <si>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</si>
  <si>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</si>
  <si>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</si>
  <si>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</si>
  <si>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</si>
  <si>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</si>
  <si>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</si>
  <si>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</si>
  <si>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</si>
  <si>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</si>
  <si>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</si>
  <si>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</si>
  <si>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</si>
  <si>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</si>
  <si>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</si>
  <si>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</si>
  <si>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</si>
  <si>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</si>
  <si>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</si>
  <si>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</si>
  <si>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</si>
  <si>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</si>
  <si>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</si>
  <si>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</si>
  <si>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</si>
  <si>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</si>
  <si>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</si>
  <si>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</si>
  <si>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</si>
  <si>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</si>
  <si>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</si>
  <si>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</si>
  <si>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</si>
  <si>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</si>
  <si>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</si>
  <si>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</si>
  <si>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</si>
  <si>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</si>
  <si>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</si>
  <si>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</si>
  <si>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</si>
  <si>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</si>
  <si>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</si>
  <si>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</si>
  <si>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</si>
  <si>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</si>
  <si>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</si>
  <si>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</si>
  <si>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</si>
  <si>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</si>
  <si>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</si>
  <si>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</si>
  <si>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</si>
  <si>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</si>
  <si>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</si>
  <si>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</si>
  <si>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</si>
  <si>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</si>
  <si>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</si>
  <si>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</si>
  <si>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</si>
  <si>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</si>
  <si>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</si>
  <si>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</si>
  <si>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</si>
  <si>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</si>
  <si>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</si>
  <si>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</si>
  <si>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</si>
  <si>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</si>
  <si>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</si>
  <si>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</si>
  <si>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</si>
  <si>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</si>
  <si>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</si>
  <si>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</si>
  <si>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</si>
  <si>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</si>
  <si>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</si>
  <si>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</si>
  <si>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</si>
  <si>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</si>
  <si>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</si>
  <si>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</si>
  <si>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</si>
  <si>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</si>
  <si>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</si>
  <si>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</si>
  <si>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</si>
  <si>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</si>
  <si>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</si>
  <si>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</si>
  <si>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</si>
  <si>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</si>
  <si>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</si>
  <si>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</si>
  <si>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</si>
  <si>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</si>
  <si>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</si>
  <si>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</si>
  <si>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</si>
  <si>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</si>
  <si>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</si>
  <si>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</si>
  <si>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</si>
  <si>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</si>
  <si>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</si>
  <si>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</si>
  <si>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</si>
  <si>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</si>
  <si>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</si>
  <si>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</si>
  <si>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</si>
  <si>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</si>
  <si>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</si>
  <si>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</si>
  <si>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</si>
  <si>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</si>
  <si>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</si>
  <si>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</si>
  <si>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</si>
  <si>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</si>
  <si>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</si>
  <si>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</si>
  <si>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</si>
  <si>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</si>
  <si>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</si>
  <si>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</si>
  <si>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</si>
  <si>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</si>
  <si>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</si>
  <si>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</si>
  <si>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</si>
  <si>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</si>
  <si>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</si>
  <si>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</si>
  <si>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</si>
  <si>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</si>
  <si>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</si>
  <si>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</si>
  <si>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</si>
  <si>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</si>
  <si>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</si>
  <si>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</si>
  <si>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</si>
  <si>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</si>
  <si>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</si>
  <si>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</si>
  <si>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</si>
  <si>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</si>
  <si>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</si>
  <si>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</si>
  <si>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</si>
  <si>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</si>
  <si>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</si>
  <si>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</si>
  <si>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</si>
  <si>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</si>
  <si>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</si>
  <si>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</si>
  <si>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</si>
  <si>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</si>
  <si>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</si>
  <si>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</si>
  <si>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</si>
  <si>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</si>
  <si>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</si>
  <si>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</si>
  <si>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</si>
  <si>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</si>
  <si>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</si>
  <si>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</si>
  <si>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</si>
  <si>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</si>
  <si>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</si>
  <si>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</si>
  <si>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</si>
  <si>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</si>
  <si>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</si>
  <si>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</si>
  <si>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</si>
  <si>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</si>
  <si>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</si>
  <si>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</si>
  <si>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</si>
  <si>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</si>
  <si>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</si>
  <si>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</si>
  <si>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</si>
  <si>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</si>
  <si>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</si>
  <si>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</si>
  <si>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</si>
  <si>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</si>
  <si>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</si>
  <si>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</si>
  <si>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</si>
  <si>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</si>
  <si>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</si>
  <si>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</si>
  <si>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</si>
  <si>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</si>
  <si>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</si>
  <si>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</si>
  <si>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</si>
  <si>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</si>
  <si>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</si>
  <si>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</si>
  <si>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</si>
  <si>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</si>
  <si>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</si>
  <si>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</si>
  <si>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</si>
  <si>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</si>
  <si>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</si>
  <si>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</si>
  <si>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</si>
  <si>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</si>
  <si>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</si>
  <si>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</si>
  <si>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</si>
  <si>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</si>
  <si>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</si>
  <si>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</si>
  <si>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</si>
  <si>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</si>
  <si>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</si>
  <si>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</si>
  <si>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</si>
  <si>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</si>
  <si>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</si>
  <si>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</si>
  <si>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</si>
  <si>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</si>
  <si>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</si>
  <si>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</si>
  <si>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</si>
  <si>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</si>
  <si>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</si>
  <si>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</si>
  <si>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</si>
  <si>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</si>
  <si>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</si>
  <si>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</si>
  <si>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</si>
  <si>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</si>
  <si>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</si>
  <si>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</si>
  <si>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</si>
  <si>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</si>
  <si>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</si>
  <si>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</si>
  <si>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</si>
  <si>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</si>
  <si>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</si>
  <si>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</si>
  <si>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</si>
  <si>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</si>
  <si>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</si>
  <si>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</si>
  <si>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</si>
  <si>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</si>
  <si>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</si>
  <si>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</si>
  <si>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</si>
  <si>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</si>
  <si>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</si>
  <si>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</si>
  <si>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</si>
  <si>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</si>
  <si>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</si>
  <si>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</si>
  <si>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</si>
  <si>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</si>
  <si>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</si>
  <si>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</si>
  <si>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</si>
  <si>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</si>
  <si>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</si>
  <si>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</si>
  <si>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</si>
  <si>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</si>
  <si>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</si>
  <si>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</si>
  <si>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</si>
  <si>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</si>
  <si>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</si>
  <si>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</si>
  <si>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</si>
  <si>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</si>
  <si>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</si>
  <si>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</si>
  <si>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</si>
  <si>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</si>
  <si>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</si>
  <si>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</si>
  <si>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</si>
  <si>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</si>
  <si>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</si>
  <si>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</si>
  <si>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</si>
  <si>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</si>
  <si>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</si>
  <si>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</si>
  <si>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</si>
  <si>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</si>
  <si>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</si>
  <si>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</si>
  <si>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</si>
  <si>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</si>
  <si>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</si>
  <si>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</si>
  <si>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</si>
  <si>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</si>
  <si>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</si>
  <si>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</si>
  <si>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</si>
  <si>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</si>
  <si>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</si>
  <si>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</si>
  <si>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</si>
  <si>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</si>
  <si>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</si>
  <si>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</si>
  <si>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</si>
  <si>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</si>
  <si>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</si>
  <si>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</si>
  <si>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</si>
  <si>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</si>
  <si>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</si>
  <si>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</si>
  <si>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</si>
  <si>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</si>
  <si>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</si>
  <si>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</si>
  <si>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</si>
  <si>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</si>
  <si>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</si>
  <si>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</si>
  <si>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</si>
  <si>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</si>
  <si>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</si>
  <si>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</si>
  <si>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</si>
  <si>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</si>
  <si>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</si>
  <si>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</si>
  <si>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</si>
  <si>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</si>
  <si>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</si>
  <si>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</si>
  <si>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</si>
  <si>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</si>
  <si>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</si>
  <si>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</si>
  <si>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</si>
  <si>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</si>
  <si>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</si>
  <si>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</si>
  <si>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</si>
  <si>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</si>
  <si>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</si>
  <si>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</si>
  <si>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</si>
  <si>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</si>
  <si>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</si>
  <si>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</si>
  <si>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</si>
  <si>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</si>
  <si>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</si>
  <si>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</si>
  <si>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</si>
  <si>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</si>
  <si>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</si>
  <si>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</si>
  <si>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</si>
  <si>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</si>
  <si>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</si>
  <si>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</si>
  <si>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</si>
  <si>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</si>
  <si>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</si>
  <si>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</si>
  <si>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</si>
  <si>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</si>
  <si>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</si>
  <si>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</si>
  <si>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</si>
  <si>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</si>
  <si>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</si>
  <si>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</si>
  <si>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</si>
  <si>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</si>
  <si>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</si>
  <si>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</si>
  <si>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</si>
  <si>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</si>
  <si>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</si>
  <si>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</si>
  <si>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</si>
  <si>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</si>
  <si>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</si>
  <si>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</si>
  <si>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</si>
  <si>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</si>
  <si>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</si>
  <si>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</si>
  <si>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</si>
  <si>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</si>
  <si>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</si>
  <si>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</si>
  <si>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</si>
  <si>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</si>
  <si>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</si>
  <si>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</si>
  <si>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</si>
  <si>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</si>
  <si>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</si>
  <si>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</si>
  <si>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</si>
  <si>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</si>
  <si>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</si>
  <si>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</si>
  <si>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</si>
  <si>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</si>
  <si>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</si>
  <si>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</si>
  <si>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</si>
  <si>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</si>
  <si>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</si>
  <si>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</si>
  <si>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</si>
  <si>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</si>
  <si>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</si>
  <si>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</si>
  <si>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</si>
  <si>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</si>
  <si>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</si>
  <si>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</si>
  <si>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</si>
  <si>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</si>
  <si>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</si>
  <si>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</si>
  <si>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</si>
  <si>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</si>
  <si>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</si>
  <si>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</si>
  <si>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</si>
  <si>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</si>
  <si>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</si>
  <si>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</si>
  <si>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</si>
  <si>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</si>
  <si>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</si>
  <si>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</si>
  <si>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</si>
  <si>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</si>
  <si>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</si>
  <si>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</si>
  <si>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</si>
  <si>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</si>
  <si>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</si>
  <si>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</si>
  <si>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</si>
  <si>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</si>
  <si>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</si>
  <si>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</si>
  <si>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</si>
  <si>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</si>
  <si>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</si>
  <si>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</si>
  <si>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</si>
  <si>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</si>
  <si>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</si>
  <si>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</si>
  <si>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</si>
  <si>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</si>
  <si>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</si>
  <si>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</si>
  <si>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</si>
  <si>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</si>
  <si>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</si>
  <si>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</si>
  <si>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</si>
  <si>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</si>
  <si>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</si>
  <si>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</si>
  <si>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</si>
  <si>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</si>
  <si>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</si>
  <si>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</si>
  <si>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</si>
  <si>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</si>
  <si>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</si>
  <si>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</si>
  <si>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</si>
  <si>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</si>
  <si>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</si>
  <si>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</si>
  <si>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</si>
  <si>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</si>
  <si>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</si>
  <si>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</si>
  <si>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</si>
  <si>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</si>
  <si>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</si>
  <si>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</si>
  <si>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</si>
  <si>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</si>
  <si>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</si>
  <si>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</si>
  <si>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</si>
  <si>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</si>
  <si>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</si>
  <si>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</si>
  <si>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</si>
  <si>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</si>
  <si>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</si>
  <si>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</si>
  <si>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</si>
  <si>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</si>
  <si>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</si>
  <si>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</si>
  <si>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</si>
  <si>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</si>
  <si>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</si>
  <si>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</si>
  <si>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</si>
  <si>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</si>
  <si>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</si>
  <si>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</si>
  <si>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</si>
  <si>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</si>
  <si>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</si>
  <si>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</si>
  <si>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</si>
  <si>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</si>
  <si>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</si>
  <si>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</si>
  <si>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</si>
  <si>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</si>
  <si>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</si>
  <si>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</si>
  <si>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</si>
  <si>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</si>
  <si>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</si>
  <si>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</si>
  <si>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</si>
  <si>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</si>
  <si>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</si>
  <si>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</si>
  <si>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</si>
  <si>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</si>
  <si>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</si>
  <si>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</si>
  <si>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</si>
  <si>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</si>
  <si>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</si>
  <si>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</si>
  <si>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</si>
  <si>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</si>
  <si>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</si>
  <si>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</si>
  <si>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</si>
  <si>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</si>
  <si>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</si>
  <si>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</si>
  <si>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</si>
  <si>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</si>
  <si>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</si>
  <si>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</si>
  <si>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</si>
  <si>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</si>
  <si>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</si>
  <si>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</si>
  <si>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</si>
  <si>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</si>
  <si>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</si>
  <si>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</si>
  <si>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</si>
  <si>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</si>
  <si>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</si>
  <si>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</si>
  <si>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</si>
  <si>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</si>
  <si>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</si>
  <si>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</si>
  <si>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</si>
  <si>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</si>
  <si>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</si>
  <si>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</si>
  <si>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</si>
  <si>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</si>
  <si>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</si>
  <si>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</si>
  <si>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</si>
  <si>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</si>
  <si>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</si>
  <si>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</si>
  <si>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</si>
  <si>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</si>
  <si>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</si>
  <si>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</si>
  <si>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</si>
  <si>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</si>
  <si>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</si>
  <si>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</si>
  <si>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</si>
  <si>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</si>
  <si>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</si>
  <si>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</si>
  <si>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</si>
  <si>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</si>
  <si>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</si>
  <si>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</si>
  <si>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</si>
  <si>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</si>
  <si>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</si>
  <si>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</si>
  <si>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</si>
  <si>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</si>
  <si>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</si>
  <si>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</si>
  <si>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</si>
  <si>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</si>
  <si>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</si>
  <si>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</si>
  <si>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</si>
  <si>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</si>
  <si>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</si>
  <si>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</si>
  <si>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</si>
  <si>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</si>
  <si>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</si>
  <si>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</si>
  <si>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</si>
  <si>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</si>
  <si>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</si>
  <si>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</si>
  <si>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</si>
  <si>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</si>
  <si>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</si>
  <si>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</si>
  <si>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</si>
  <si>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</si>
  <si>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</si>
  <si>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</si>
  <si>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</si>
  <si>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</si>
  <si>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</si>
  <si>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</si>
  <si>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</si>
  <si>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</si>
  <si>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</si>
  <si>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</si>
  <si>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</si>
  <si>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</si>
  <si>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</si>
  <si>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</si>
  <si>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</si>
  <si>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</si>
  <si>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</si>
  <si>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</si>
  <si>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</si>
  <si>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</si>
  <si>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</si>
  <si>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</si>
  <si>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</si>
  <si>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</si>
  <si>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</si>
  <si>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</si>
  <si>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</si>
  <si>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</si>
  <si>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</si>
  <si>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</si>
  <si>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</si>
  <si>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</si>
  <si>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</si>
  <si>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</si>
  <si>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</si>
  <si>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</si>
  <si>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</si>
  <si>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</si>
  <si>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</si>
  <si>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</si>
  <si>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</si>
  <si>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</si>
  <si>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</si>
  <si>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</si>
  <si>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</si>
  <si>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</si>
  <si>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</si>
  <si>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</si>
  <si>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</si>
  <si>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</si>
  <si>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</si>
  <si>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</si>
  <si>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</si>
  <si>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</si>
  <si>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</si>
  <si>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</si>
  <si>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</si>
  <si>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</si>
  <si>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</si>
  <si>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</si>
  <si>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</si>
  <si>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</si>
  <si>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</si>
  <si>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</si>
  <si>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</si>
  <si>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</si>
  <si>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</si>
  <si>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</si>
  <si>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</si>
  <si>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</si>
  <si>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</si>
  <si>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</si>
  <si>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</si>
  <si>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</si>
  <si>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</si>
  <si>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</si>
  <si>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</si>
  <si>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</si>
  <si>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</si>
  <si>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</si>
  <si>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</si>
  <si>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</si>
  <si>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</si>
  <si>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</si>
  <si>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</si>
  <si>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</si>
  <si>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</si>
  <si>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</si>
  <si>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</si>
  <si>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</si>
  <si>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</si>
  <si>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</si>
  <si>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</si>
  <si>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</si>
  <si>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</si>
  <si>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</si>
  <si>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</si>
  <si>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</si>
  <si>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</si>
  <si>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</si>
  <si>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</si>
  <si>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</si>
  <si>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</si>
  <si>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</si>
  <si>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</si>
  <si>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</si>
  <si>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</si>
  <si>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</si>
  <si>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</si>
  <si>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</si>
  <si>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</si>
  <si>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</si>
  <si>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</si>
  <si>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</si>
  <si>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</si>
  <si>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</si>
  <si>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</si>
  <si>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</si>
  <si>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</si>
  <si>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</si>
  <si>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</si>
  <si>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</si>
  <si>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</si>
  <si>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</si>
  <si>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</si>
  <si>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</si>
  <si>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</si>
  <si>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</si>
  <si>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</si>
  <si>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</si>
  <si>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</si>
  <si>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</si>
  <si>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</si>
  <si>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</si>
  <si>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</si>
  <si>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</si>
  <si>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</si>
  <si>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</si>
  <si>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</si>
  <si>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</si>
  <si>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</si>
  <si>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</si>
  <si>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</si>
  <si>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</si>
  <si>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</si>
  <si>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</si>
  <si>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</si>
  <si>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</si>
  <si>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</si>
  <si>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</si>
  <si>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</si>
  <si>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</si>
  <si>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</si>
  <si>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</si>
  <si>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</si>
  <si>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</si>
  <si>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</si>
  <si>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</si>
  <si>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</si>
  <si>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</si>
  <si>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</si>
  <si>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</si>
  <si>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</si>
  <si>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</si>
  <si>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</si>
  <si>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</si>
  <si>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</si>
  <si>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</si>
  <si>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</si>
  <si>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</si>
  <si>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</si>
  <si>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</si>
  <si>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</si>
  <si>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</si>
  <si>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</si>
  <si>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</si>
  <si>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</si>
  <si>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</si>
  <si>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</si>
  <si>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</si>
  <si>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</si>
  <si>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</si>
  <si>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</si>
  <si>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</si>
  <si>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</si>
  <si>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</si>
  <si>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</si>
  <si>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</si>
  <si>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</si>
  <si>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</si>
  <si>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</si>
  <si>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</si>
  <si>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</si>
  <si>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</si>
  <si>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</si>
  <si>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</si>
  <si>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</si>
  <si>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</si>
  <si>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</si>
  <si>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</si>
  <si>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</si>
  <si>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</si>
  <si>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</si>
  <si>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</si>
  <si>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</si>
  <si>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</si>
  <si>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</si>
  <si>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</si>
  <si>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</si>
  <si>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</si>
  <si>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</si>
  <si>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</si>
  <si>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</si>
  <si>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</si>
  <si>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</si>
  <si>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</si>
  <si>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</si>
  <si>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</si>
  <si>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</si>
  <si>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</si>
  <si>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</si>
  <si>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</si>
  <si>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</si>
  <si>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</si>
  <si>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</si>
  <si>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</si>
  <si>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</si>
  <si>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</si>
  <si>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</si>
  <si>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</si>
  <si>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</si>
  <si>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</si>
  <si>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</si>
  <si>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</si>
  <si>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</si>
  <si>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</si>
  <si>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</si>
  <si>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</si>
  <si>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</si>
  <si>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</si>
  <si>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</si>
  <si>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</si>
  <si>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</si>
  <si>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</si>
  <si>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</si>
  <si>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</si>
  <si>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</si>
  <si>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</si>
  <si>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</si>
  <si>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</si>
  <si>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</si>
  <si>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</si>
  <si>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</si>
  <si>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</si>
  <si>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</si>
  <si>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</si>
  <si>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</si>
  <si>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</si>
  <si>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</si>
  <si>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</si>
  <si>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</si>
  <si>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</si>
  <si>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</si>
  <si>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</si>
  <si>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</si>
  <si>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</si>
  <si>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</si>
  <si>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</si>
  <si>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</si>
  <si>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</si>
  <si>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</si>
  <si>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</si>
  <si>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</si>
  <si>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</si>
  <si>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</si>
  <si>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</si>
  <si>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</si>
  <si>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</si>
  <si>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</si>
  <si>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</si>
  <si>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</si>
  <si>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</si>
  <si>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</si>
  <si>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</si>
  <si>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</si>
  <si>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</si>
  <si>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</si>
  <si>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</si>
  <si>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</si>
  <si>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</si>
  <si>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</si>
  <si>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</si>
  <si>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</si>
  <si>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</si>
  <si>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</si>
  <si>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</si>
  <si>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</si>
  <si>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</si>
  <si>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</si>
  <si>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</si>
  <si>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</si>
  <si>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</si>
  <si>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</si>
  <si>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</si>
  <si>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</si>
  <si>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</si>
  <si>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</si>
  <si>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</si>
  <si>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</si>
  <si>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</si>
  <si>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</si>
  <si>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</si>
  <si>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</si>
  <si>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</si>
  <si>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</si>
  <si>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</si>
  <si>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</si>
  <si>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</si>
  <si>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</si>
  <si>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</si>
  <si>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</si>
  <si>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</si>
  <si>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</si>
  <si>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</si>
  <si>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</si>
  <si>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</si>
  <si>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</si>
  <si>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</si>
  <si>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</si>
  <si>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</si>
  <si>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</si>
  <si>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</si>
  <si>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</si>
  <si>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</si>
  <si>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</si>
  <si>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</si>
  <si>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</si>
  <si>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</si>
  <si>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</si>
  <si>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</si>
  <si>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</si>
  <si>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</si>
  <si>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</si>
  <si>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</si>
  <si>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</si>
  <si>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</si>
  <si>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</si>
  <si>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</si>
  <si>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</si>
  <si>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</si>
  <si>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</si>
  <si>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</si>
  <si>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</si>
  <si>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</si>
  <si>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</si>
  <si>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</si>
  <si>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</si>
  <si>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</si>
  <si>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</si>
  <si>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</si>
  <si>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</si>
  <si>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</si>
  <si>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</si>
  <si>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</si>
  <si>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</si>
  <si>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</si>
  <si>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</si>
  <si>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</si>
  <si>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</si>
  <si>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</si>
  <si>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</si>
  <si>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</si>
  <si>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</si>
  <si>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</si>
  <si>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</si>
  <si>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</si>
  <si>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</si>
  <si>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</si>
  <si>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</si>
  <si>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</si>
  <si>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</si>
  <si>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</si>
  <si>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</si>
  <si>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</si>
  <si>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</si>
  <si>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</si>
  <si>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</si>
  <si>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</si>
  <si>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</si>
  <si>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</si>
  <si>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</si>
  <si>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</si>
  <si>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</si>
  <si>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</si>
  <si>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</si>
  <si>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</si>
  <si>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</si>
  <si>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</si>
  <si>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</si>
  <si>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</si>
  <si>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</si>
  <si>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</si>
  <si>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</si>
  <si>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</si>
  <si>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</si>
  <si>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</si>
  <si>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</si>
  <si>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</si>
  <si>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</si>
  <si>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</si>
  <si>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</si>
  <si>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</si>
  <si>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</si>
  <si>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</si>
  <si>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</si>
  <si>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</si>
  <si>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</si>
  <si>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</si>
  <si>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</si>
  <si>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</si>
  <si>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</si>
  <si>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</si>
  <si>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</si>
  <si>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</si>
  <si>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</si>
  <si>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</si>
  <si>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</si>
  <si>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</si>
  <si>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</si>
  <si>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</si>
  <si>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</si>
  <si>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</si>
  <si>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</si>
  <si>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</si>
  <si>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</si>
  <si>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</si>
  <si>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</si>
  <si>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</si>
  <si>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</si>
  <si>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</si>
  <si>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</si>
  <si>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</si>
  <si>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</si>
  <si>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</si>
  <si>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</si>
  <si>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</si>
  <si>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</si>
  <si>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</si>
  <si>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</si>
  <si>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</si>
  <si>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</si>
  <si>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</si>
  <si>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</si>
  <si>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</si>
  <si>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</si>
  <si>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</si>
  <si>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</si>
  <si>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</si>
  <si>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</si>
  <si>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</si>
  <si>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</si>
  <si>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</si>
  <si>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</si>
  <si>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</si>
  <si>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</si>
  <si>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</si>
  <si>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</si>
  <si>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</si>
  <si>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</si>
  <si>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</si>
  <si>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</si>
  <si>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</si>
  <si>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</si>
  <si>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</si>
  <si>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</si>
  <si>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</si>
  <si>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</si>
  <si>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</si>
  <si>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</si>
  <si>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</si>
  <si>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</si>
  <si>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</si>
  <si>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</si>
  <si>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</si>
  <si>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</si>
  <si>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</si>
  <si>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</si>
  <si>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</si>
  <si>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</si>
  <si>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</si>
  <si>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</si>
  <si>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</si>
  <si>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</si>
  <si>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</si>
  <si>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</si>
  <si>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</si>
  <si>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</si>
  <si>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</si>
  <si>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</si>
  <si>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</si>
  <si>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</si>
  <si>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</si>
  <si>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</si>
  <si>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</si>
  <si>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</si>
  <si>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</si>
  <si>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</si>
  <si>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</si>
  <si>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</si>
  <si>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</si>
  <si>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</si>
  <si>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</si>
  <si>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</si>
  <si>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</si>
  <si>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</si>
  <si>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</si>
  <si>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</si>
  <si>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</si>
  <si>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</si>
  <si>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</si>
  <si>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</si>
  <si>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</si>
  <si>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</si>
  <si>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</si>
  <si>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</si>
  <si>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</si>
  <si>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</si>
  <si>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</si>
  <si>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</si>
  <si>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</si>
  <si>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</si>
  <si>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</si>
  <si>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</si>
  <si>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</si>
  <si>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</si>
  <si>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</si>
  <si>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</si>
  <si>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</si>
  <si>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</si>
  <si>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</si>
  <si>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</si>
  <si>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</si>
  <si>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</si>
  <si>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</si>
  <si>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</si>
  <si>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</si>
  <si>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</si>
  <si>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</si>
  <si>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</si>
  <si>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</si>
  <si>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</si>
  <si>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</si>
  <si>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</si>
  <si>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</si>
  <si>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</si>
  <si>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</si>
  <si>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</si>
  <si>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</si>
  <si>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</si>
  <si>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</si>
  <si>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</si>
  <si>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</si>
  <si>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</si>
  <si>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</si>
  <si>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</si>
  <si>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</si>
  <si>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</si>
  <si>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</si>
  <si>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</si>
  <si>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</si>
  <si>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</si>
  <si>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</si>
  <si>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</si>
  <si>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</si>
  <si>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</si>
  <si>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</si>
  <si>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</si>
  <si>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</si>
  <si>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</si>
  <si>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</si>
  <si>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</si>
  <si>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</si>
  <si>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</si>
  <si>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</si>
  <si>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</si>
  <si>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</si>
  <si>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</si>
  <si>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</si>
  <si>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</si>
  <si>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</si>
  <si>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</si>
  <si>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</si>
  <si>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</si>
  <si>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</si>
  <si>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</si>
  <si>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</si>
  <si>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</si>
  <si>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</si>
  <si>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</si>
  <si>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</si>
  <si>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</si>
  <si>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</si>
  <si>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</si>
  <si>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</si>
  <si>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</si>
  <si>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</si>
  <si>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</si>
  <si>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</si>
  <si>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</si>
  <si>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</si>
  <si>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</si>
  <si>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</si>
  <si>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</si>
  <si>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</si>
  <si>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</si>
  <si>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</si>
  <si>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</si>
  <si>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</si>
  <si>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</si>
  <si>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</si>
  <si>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</si>
  <si>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</si>
  <si>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</si>
  <si>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</si>
  <si>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</si>
  <si>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</si>
  <si>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</si>
  <si>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</si>
  <si>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</si>
  <si>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</si>
  <si>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</si>
  <si>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</si>
  <si>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</si>
  <si>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</si>
  <si>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</si>
  <si>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</si>
  <si>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</si>
  <si>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</si>
  <si>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</si>
  <si>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</si>
  <si>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</si>
  <si>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</si>
  <si>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</si>
  <si>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</si>
  <si>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</si>
  <si>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</si>
  <si>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</si>
  <si>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</si>
  <si>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</si>
  <si>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</si>
  <si>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</si>
  <si>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</si>
  <si>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</si>
  <si>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</si>
  <si>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</si>
  <si>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</si>
  <si>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</si>
  <si>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</si>
  <si>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</si>
  <si>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</si>
  <si>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</si>
  <si>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</si>
  <si>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</si>
  <si>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</si>
  <si>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</si>
  <si>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</si>
  <si>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</si>
  <si>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</si>
  <si>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</si>
  <si>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</si>
  <si>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</si>
  <si>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</si>
  <si>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</si>
  <si>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</si>
  <si>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</si>
  <si>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</si>
  <si>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</si>
  <si>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</si>
  <si>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</si>
  <si>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</si>
  <si>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</si>
  <si>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</si>
  <si>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</si>
  <si>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</si>
  <si>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</si>
  <si>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</si>
  <si>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</si>
  <si>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</si>
  <si>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</si>
  <si>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</si>
  <si>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</si>
  <si>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</si>
  <si>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</si>
  <si>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</si>
  <si>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</si>
  <si>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</si>
  <si>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</si>
  <si>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</si>
  <si>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</si>
  <si>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</si>
  <si>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</si>
  <si>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</si>
  <si>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</si>
  <si>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</si>
  <si>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</si>
  <si>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</si>
  <si>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</si>
  <si>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</si>
  <si>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</si>
  <si>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</si>
  <si>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</si>
  <si>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</si>
  <si>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</si>
  <si>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</si>
  <si>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</si>
  <si>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</si>
  <si>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</si>
  <si>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</si>
  <si>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</si>
  <si>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</si>
  <si>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</si>
  <si>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</si>
  <si>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</si>
  <si>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</si>
  <si>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</si>
  <si>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</si>
  <si>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</si>
  <si>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</si>
  <si>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</si>
  <si>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</si>
  <si>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</si>
  <si>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</si>
  <si>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</si>
  <si>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</si>
  <si>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</si>
  <si>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</si>
  <si>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</si>
  <si>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</si>
  <si>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</si>
  <si>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</si>
  <si>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</si>
  <si>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</si>
  <si>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</si>
  <si>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</si>
  <si>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</si>
  <si>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</si>
  <si>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</si>
  <si>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</si>
  <si>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</si>
  <si>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</si>
  <si>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</si>
  <si>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</si>
  <si>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</si>
  <si>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</si>
  <si>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</si>
  <si>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</si>
  <si>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</si>
  <si>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</si>
  <si>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</si>
  <si>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</si>
  <si>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</si>
  <si>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</si>
  <si>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</si>
  <si>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</si>
  <si>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</si>
  <si>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</si>
  <si>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</si>
  <si>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</si>
  <si>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</si>
  <si>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</si>
  <si>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</si>
  <si>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</si>
  <si>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</si>
  <si>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</si>
  <si>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</si>
  <si>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</si>
  <si>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</si>
  <si>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</si>
  <si>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</si>
  <si>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</si>
  <si>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</si>
  <si>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</si>
  <si>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</si>
  <si>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</si>
  <si>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</si>
  <si>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</si>
  <si>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</si>
  <si>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</si>
  <si>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</si>
  <si>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</si>
  <si>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</si>
  <si>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</si>
  <si>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</si>
  <si>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</si>
  <si>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</si>
  <si>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</si>
  <si>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</si>
  <si>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</si>
  <si>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</si>
  <si>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</si>
  <si>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</si>
  <si>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</si>
  <si>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</si>
  <si>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</si>
  <si>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</si>
  <si>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</si>
  <si>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</si>
  <si>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</si>
  <si>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</si>
  <si>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</si>
  <si>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</si>
  <si>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</si>
  <si>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</si>
  <si>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</si>
  <si>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</si>
  <si>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</si>
  <si>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</si>
  <si>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</si>
  <si>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</si>
  <si>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</si>
  <si>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</si>
  <si>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</si>
  <si>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</si>
  <si>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</si>
  <si>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</si>
  <si>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</si>
  <si>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</si>
  <si>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</si>
  <si>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</si>
  <si>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</si>
  <si>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</si>
  <si>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</si>
  <si>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</si>
  <si>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</si>
  <si>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</si>
  <si>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</si>
  <si>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</si>
  <si>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</si>
  <si>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</si>
  <si>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</si>
  <si>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</si>
  <si>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</si>
  <si>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</si>
  <si>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</si>
  <si>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</si>
  <si>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</si>
  <si>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</si>
  <si>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</si>
  <si>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</si>
  <si>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</si>
  <si>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</si>
  <si>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</si>
  <si>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</si>
  <si>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</si>
  <si>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</si>
  <si>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</si>
  <si>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</si>
  <si>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</si>
  <si>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</si>
  <si>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</si>
  <si>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</si>
  <si>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</si>
  <si>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</si>
  <si>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</si>
  <si>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</si>
  <si>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</si>
  <si>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</si>
  <si>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</si>
  <si>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</si>
  <si>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</si>
  <si>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</si>
  <si>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</si>
  <si>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</si>
  <si>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</si>
  <si>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</si>
  <si>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</si>
  <si>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</si>
  <si>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</si>
  <si>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</si>
  <si>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</si>
  <si>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</si>
  <si>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</si>
  <si>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</si>
  <si>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</si>
  <si>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</si>
  <si>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</si>
  <si>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</si>
  <si>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</si>
  <si>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</si>
  <si>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</si>
  <si>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</si>
  <si>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</si>
  <si>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</si>
  <si>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</si>
  <si>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</si>
  <si>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</si>
  <si>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</si>
  <si>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</si>
  <si>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</si>
  <si>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</si>
  <si>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</si>
  <si>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</si>
  <si>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</si>
  <si>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</si>
  <si>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</si>
  <si>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</si>
  <si>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</si>
  <si>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</si>
  <si>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</si>
  <si>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</si>
  <si>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</si>
  <si>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</si>
  <si>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</si>
  <si>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</si>
  <si>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</si>
  <si>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</si>
  <si>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</si>
  <si>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</si>
  <si>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</si>
  <si>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</si>
  <si>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</si>
  <si>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</si>
  <si>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</si>
  <si>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</si>
  <si>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</si>
  <si>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</si>
  <si>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</si>
  <si>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</si>
  <si>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</si>
  <si>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</si>
  <si>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</si>
  <si>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</si>
  <si>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</si>
  <si>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</si>
  <si>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</si>
  <si>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</si>
  <si>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</si>
  <si>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</si>
  <si>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</si>
  <si>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</si>
  <si>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</si>
  <si>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</si>
  <si>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</si>
  <si>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</si>
  <si>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</si>
  <si>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</si>
  <si>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</si>
  <si>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</si>
  <si>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</si>
  <si>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</si>
  <si>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</si>
  <si>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</si>
  <si>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</si>
  <si>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</si>
  <si>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</si>
  <si>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</si>
  <si>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</si>
  <si>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</si>
  <si>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</si>
  <si>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</si>
  <si>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</si>
  <si>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</si>
  <si>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</si>
  <si>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</si>
  <si>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</si>
  <si>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</si>
  <si>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</si>
  <si>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</si>
  <si>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</si>
  <si>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</si>
  <si>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</si>
  <si>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</si>
  <si>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</si>
  <si>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</si>
  <si>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</si>
  <si>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</si>
  <si>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</si>
  <si>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</si>
  <si>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</si>
  <si>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</si>
  <si>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</si>
  <si>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</si>
  <si>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</si>
  <si>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</si>
  <si>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</si>
  <si>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</si>
  <si>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</si>
  <si>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</si>
  <si>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</si>
  <si>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</si>
  <si>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</si>
  <si>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</si>
  <si>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</si>
  <si>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</si>
  <si>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</si>
  <si>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</si>
  <si>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</si>
  <si>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</si>
  <si>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</si>
  <si>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</si>
  <si>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</si>
  <si>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</si>
  <si>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</si>
  <si>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</si>
  <si>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</si>
  <si>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</si>
  <si>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</si>
  <si>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</si>
  <si>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</si>
  <si>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</si>
  <si>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</si>
  <si>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</si>
  <si>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</si>
  <si>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</si>
  <si>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</si>
  <si>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</si>
  <si>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</si>
  <si>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</si>
  <si>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</si>
  <si>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</si>
  <si>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</si>
  <si>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</si>
  <si>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</si>
  <si>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</si>
  <si>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</si>
  <si>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</si>
  <si>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</si>
  <si>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</si>
  <si>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</si>
  <si>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</si>
  <si>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</si>
  <si>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</si>
  <si>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</si>
  <si>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</si>
  <si>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</si>
  <si>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</si>
  <si>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</si>
  <si>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</si>
  <si>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</si>
  <si>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</si>
  <si>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</si>
  <si>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</si>
  <si>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</si>
  <si>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</si>
  <si>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</si>
  <si>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</si>
  <si>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</si>
  <si>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</si>
  <si>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</si>
  <si>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</si>
  <si>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</si>
  <si>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</si>
  <si>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</si>
  <si>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</si>
  <si>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</si>
  <si>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</si>
  <si>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</si>
  <si>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</si>
  <si>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</si>
  <si>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</si>
  <si>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</si>
  <si>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</si>
  <si>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</si>
  <si>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</si>
  <si>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</si>
  <si>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</si>
  <si>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</si>
  <si>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</si>
  <si>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</si>
  <si>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</si>
  <si>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</si>
  <si>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</si>
  <si>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</si>
  <si>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</si>
  <si>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</si>
  <si>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</si>
  <si>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</si>
  <si>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</si>
  <si>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</si>
  <si>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</si>
  <si>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</si>
  <si>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</si>
  <si>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</si>
  <si>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</si>
  <si>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</si>
  <si>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</si>
  <si>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</si>
  <si>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</si>
  <si>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</si>
  <si>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</si>
  <si>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</si>
  <si>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</si>
  <si>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</si>
  <si>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</si>
  <si>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</si>
  <si>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</si>
  <si>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</si>
  <si>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</si>
  <si>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</si>
  <si>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</si>
  <si>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</si>
  <si>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</si>
  <si>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</si>
  <si>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</si>
  <si>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</si>
  <si>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</si>
  <si>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</si>
  <si>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</si>
  <si>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</si>
  <si>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</si>
  <si>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</si>
  <si>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</si>
  <si>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</si>
  <si>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</si>
  <si>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</si>
  <si>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</si>
  <si>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</si>
  <si>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</si>
  <si>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</si>
  <si>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</si>
  <si>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</si>
  <si>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</si>
  <si>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</si>
  <si>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</si>
  <si>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</si>
  <si>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</si>
  <si>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</si>
  <si>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</si>
  <si>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</si>
  <si>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</si>
  <si>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</si>
  <si>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</si>
  <si>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</si>
  <si>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</si>
  <si>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</si>
  <si>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</si>
  <si>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</si>
  <si>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</si>
  <si>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</si>
  <si>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</si>
  <si>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</si>
  <si>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</si>
  <si>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</si>
  <si>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</si>
  <si>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</si>
  <si>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</si>
  <si>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</si>
  <si>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</si>
  <si>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</si>
  <si>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</si>
  <si>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</si>
  <si>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</si>
  <si>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</si>
  <si>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</si>
  <si>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</si>
  <si>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</si>
  <si>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</si>
  <si>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</si>
  <si>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</si>
  <si>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</si>
  <si>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</si>
  <si>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</si>
  <si>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</si>
  <si>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</si>
  <si>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</si>
  <si>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</si>
  <si>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</si>
  <si>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</si>
  <si>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</si>
  <si>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</si>
  <si>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</si>
  <si>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</si>
  <si>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</si>
  <si>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</si>
  <si>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</si>
  <si>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</si>
  <si>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</si>
  <si>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</si>
  <si>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</si>
  <si>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</si>
  <si>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</si>
  <si>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</si>
  <si>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</si>
  <si>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</si>
  <si>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</si>
  <si>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</si>
  <si>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</si>
  <si>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</si>
  <si>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</si>
  <si>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</si>
  <si>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</si>
  <si>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</si>
  <si>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</si>
  <si>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</si>
  <si>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</si>
  <si>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</si>
  <si>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</si>
  <si>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</si>
  <si>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</si>
  <si>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</si>
  <si>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</si>
  <si>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</si>
  <si>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</si>
  <si>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</si>
  <si>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</si>
  <si>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</si>
  <si>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</si>
  <si>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</si>
  <si>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</si>
  <si>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</si>
  <si>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</si>
  <si>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</si>
  <si>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</si>
  <si>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</si>
  <si>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</si>
  <si>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</si>
  <si>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</si>
  <si>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</si>
  <si>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</si>
  <si>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</si>
  <si>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</si>
  <si>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</si>
  <si>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</si>
  <si>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</si>
  <si>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</si>
  <si>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</si>
  <si>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</si>
  <si>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</si>
  <si>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</si>
  <si>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</si>
  <si>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</si>
  <si>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</si>
  <si>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</si>
  <si>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</si>
  <si>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</si>
  <si>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</si>
  <si>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</si>
  <si>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</si>
  <si>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</si>
  <si>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</si>
  <si>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</si>
  <si>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</si>
  <si>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</si>
  <si>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</si>
  <si>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</si>
  <si>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</si>
  <si>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</si>
  <si>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</si>
  <si>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</si>
  <si>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</si>
  <si>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</si>
  <si>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</si>
  <si>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</si>
  <si>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</si>
  <si>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</si>
  <si>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</si>
  <si>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</si>
  <si>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</si>
  <si>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</si>
  <si>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</si>
  <si>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</si>
  <si>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</si>
  <si>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</si>
  <si>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</si>
  <si>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</si>
  <si>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</si>
  <si>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</si>
  <si>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</si>
  <si>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</si>
  <si>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</si>
  <si>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</si>
  <si>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</si>
  <si>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</si>
  <si>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</si>
  <si>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</si>
  <si>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</si>
  <si>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</si>
  <si>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</si>
  <si>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</si>
  <si>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</si>
  <si>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</si>
  <si>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</si>
  <si>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</si>
  <si>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</si>
  <si>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</si>
  <si>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</si>
  <si>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</si>
  <si>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</si>
  <si>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</si>
  <si>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</si>
  <si>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</si>
  <si>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</si>
  <si>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</si>
  <si>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</si>
  <si>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</si>
  <si>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</si>
  <si>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</si>
  <si>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</si>
  <si>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</si>
  <si>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</si>
  <si>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</si>
  <si>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</si>
  <si>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</si>
  <si>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</si>
  <si>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</si>
  <si>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</si>
  <si>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</si>
  <si>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</si>
  <si>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</si>
  <si>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</si>
  <si>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</si>
  <si>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</si>
  <si>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</si>
  <si>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</si>
  <si>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</si>
  <si>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</si>
  <si>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</si>
  <si>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</si>
  <si>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</si>
  <si>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</si>
  <si>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</si>
  <si>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</si>
  <si>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</si>
  <si>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</si>
  <si>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</si>
  <si>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</si>
  <si>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</si>
  <si>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</si>
  <si>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</si>
  <si>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</si>
  <si>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</si>
  <si>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</si>
  <si>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</si>
  <si>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</si>
  <si>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</si>
  <si>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</si>
  <si>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</si>
  <si>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</si>
  <si>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</si>
  <si>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</si>
  <si>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</si>
  <si>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</si>
  <si>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</si>
  <si>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</si>
  <si>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</si>
  <si>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</si>
  <si>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</si>
  <si>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</si>
  <si>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</si>
  <si>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</si>
  <si>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</si>
  <si>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</si>
  <si>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</si>
  <si>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</si>
  <si>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</si>
  <si>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</si>
  <si>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</si>
  <si>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</si>
  <si>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</si>
  <si>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</si>
  <si>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</si>
  <si>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</si>
  <si>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</si>
  <si>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</si>
  <si>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</si>
  <si>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</si>
  <si>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</si>
  <si>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</si>
  <si>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</si>
  <si>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</si>
  <si>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</si>
  <si>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</si>
  <si>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</si>
  <si>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</si>
  <si>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</si>
  <si>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</si>
  <si>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</si>
  <si>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</si>
  <si>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</si>
  <si>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</si>
  <si>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</si>
  <si>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</si>
  <si>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</si>
  <si>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</si>
  <si>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</si>
  <si>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</si>
  <si>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</si>
  <si>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</si>
  <si>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</si>
  <si>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</si>
  <si>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</si>
  <si>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</si>
  <si>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</si>
  <si>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</si>
  <si>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</si>
  <si>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</si>
  <si>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</si>
  <si>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</si>
  <si>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</si>
  <si>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</si>
  <si>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</si>
  <si>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</si>
  <si>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</si>
  <si>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</si>
  <si>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</si>
  <si>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</si>
  <si>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</si>
  <si>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</si>
  <si>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</si>
  <si>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</si>
  <si>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</si>
  <si>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</si>
  <si>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</si>
  <si>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</si>
  <si>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</si>
  <si>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</si>
  <si>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</si>
  <si>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</si>
  <si>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</si>
  <si>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</si>
  <si>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</si>
  <si>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</si>
  <si>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</si>
  <si>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</si>
  <si>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</si>
  <si>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</si>
  <si>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</si>
  <si>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</si>
  <si>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</si>
  <si>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</si>
  <si>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</si>
  <si>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</si>
  <si>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</si>
  <si>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</si>
  <si>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</si>
  <si>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</si>
  <si>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</si>
  <si>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</si>
  <si>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</si>
  <si>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</si>
  <si>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</si>
  <si>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</si>
  <si>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</si>
  <si>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</si>
  <si>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</si>
  <si>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</si>
  <si>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</si>
  <si>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</si>
  <si>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</si>
  <si>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</si>
  <si>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</si>
  <si>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</si>
  <si>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</si>
  <si>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</si>
  <si>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</si>
  <si>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</si>
  <si>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</si>
  <si>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</si>
  <si>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</si>
  <si>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</si>
  <si>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</si>
  <si>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</si>
  <si>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</si>
  <si>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</si>
  <si>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</si>
  <si>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</si>
  <si>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</si>
  <si>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</si>
  <si>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</si>
  <si>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</si>
  <si>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</si>
  <si>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</si>
  <si>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</si>
  <si>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</si>
  <si>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</si>
  <si>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</si>
  <si>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</si>
  <si>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</si>
  <si>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</si>
  <si>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</si>
  <si>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</si>
  <si>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</si>
  <si>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</si>
  <si>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</si>
  <si>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</si>
  <si>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</si>
  <si>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</si>
  <si>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</si>
  <si>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</si>
  <si>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</si>
  <si>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</si>
  <si>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</si>
  <si>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</si>
  <si>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</si>
  <si>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</si>
  <si>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</si>
  <si>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</si>
  <si>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</si>
  <si>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</si>
  <si>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</si>
  <si>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</si>
  <si>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</si>
  <si>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</si>
  <si>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</si>
  <si>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</si>
  <si>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</si>
  <si>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</si>
  <si>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</si>
  <si>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</si>
  <si>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</si>
  <si>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</si>
  <si>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</si>
  <si>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</si>
  <si>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</si>
  <si>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</si>
  <si>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</si>
  <si>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</si>
  <si>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</si>
  <si>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</si>
  <si>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</si>
  <si>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</si>
  <si>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</si>
  <si>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</si>
  <si>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</si>
  <si>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</si>
  <si>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</si>
  <si>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</si>
  <si>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</si>
  <si>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</si>
  <si>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</si>
  <si>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</si>
  <si>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</si>
  <si>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</si>
  <si>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</si>
  <si>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</si>
  <si>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</si>
  <si>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</si>
  <si>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</si>
  <si>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</si>
  <si>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</si>
  <si>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</si>
  <si>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</si>
  <si>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</si>
  <si>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</si>
  <si>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</si>
  <si>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</si>
  <si>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</si>
  <si>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</si>
  <si>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</si>
  <si>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</si>
  <si>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</si>
  <si>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</si>
  <si>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</si>
  <si>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</si>
  <si>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</si>
  <si>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</si>
  <si>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</si>
  <si>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</si>
  <si>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</si>
  <si>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</si>
  <si>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</si>
  <si>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</si>
  <si>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</si>
  <si>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</si>
  <si>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</si>
  <si>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</si>
  <si>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</si>
  <si>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</si>
  <si>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</si>
  <si>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</si>
  <si>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</si>
  <si>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</si>
  <si>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</si>
  <si>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</si>
  <si>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</si>
  <si>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</si>
  <si>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</si>
  <si>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</si>
  <si>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</si>
  <si>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</si>
  <si>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</si>
  <si>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</si>
  <si>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</si>
  <si>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</si>
  <si>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</si>
  <si>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</si>
  <si>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</si>
  <si>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</si>
  <si>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</si>
  <si>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</si>
  <si>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</si>
  <si>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</si>
  <si>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</si>
  <si>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</si>
  <si>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</si>
  <si>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</si>
  <si>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</si>
  <si>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</si>
  <si>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</si>
  <si>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</si>
  <si>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</si>
  <si>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</si>
  <si>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</si>
  <si>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</si>
  <si>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</si>
  <si>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</si>
  <si>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</si>
  <si>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</si>
  <si>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</si>
  <si>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</si>
  <si>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</si>
  <si>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</si>
  <si>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</si>
  <si>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</si>
  <si>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</si>
  <si>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</si>
  <si>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</si>
  <si>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</si>
  <si>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</si>
  <si>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</si>
  <si>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</si>
  <si>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</si>
  <si>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</si>
  <si>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</si>
  <si>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</si>
  <si>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</si>
  <si>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</si>
  <si>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</si>
  <si>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</si>
  <si>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</si>
  <si>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</si>
  <si>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</si>
  <si>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</si>
  <si>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</si>
  <si>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</si>
  <si>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</si>
  <si>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</si>
  <si>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</si>
  <si>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</si>
  <si>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</si>
  <si>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</si>
  <si>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</si>
  <si>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</si>
  <si>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</si>
  <si>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</si>
  <si>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</si>
  <si>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</si>
  <si>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</si>
  <si>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</si>
  <si>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</si>
  <si>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</si>
  <si>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</si>
  <si>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</si>
  <si>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</si>
  <si>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</si>
  <si>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</si>
  <si>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</si>
  <si>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</si>
  <si>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</si>
  <si>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</si>
  <si>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</si>
  <si>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</si>
  <si>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</si>
  <si>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</si>
  <si>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</si>
  <si>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</si>
  <si>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</si>
  <si>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</si>
  <si>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</si>
  <si>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</si>
  <si>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</si>
  <si>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</si>
  <si>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</si>
  <si>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</si>
  <si>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</si>
  <si>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</si>
  <si>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</si>
  <si>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</si>
  <si>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</si>
  <si>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</si>
  <si>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</si>
  <si>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</si>
  <si>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</si>
  <si>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</si>
  <si>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</si>
  <si>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</si>
  <si>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</si>
  <si>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</si>
  <si>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</si>
  <si>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</si>
  <si>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</si>
  <si>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</si>
  <si>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</si>
  <si>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</si>
  <si>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</si>
  <si>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</si>
  <si>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</si>
  <si>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</si>
  <si>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</si>
  <si>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</si>
  <si>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</si>
  <si>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</si>
  <si>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</si>
  <si>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</si>
  <si>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</si>
  <si>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</si>
  <si>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</si>
  <si>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</si>
  <si>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</si>
  <si>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</si>
  <si>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</si>
  <si>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</si>
  <si>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</si>
  <si>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</si>
  <si>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</si>
  <si>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</si>
  <si>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</si>
  <si>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</si>
  <si>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</si>
  <si>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</si>
  <si>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</si>
  <si>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</si>
  <si>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</si>
  <si>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</si>
  <si>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</si>
  <si>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</si>
  <si>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</si>
  <si>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</si>
  <si>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</si>
  <si>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</si>
  <si>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</si>
  <si>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</si>
  <si>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</si>
  <si>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</si>
  <si>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</si>
  <si>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</si>
  <si>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</si>
  <si>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</si>
  <si>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</si>
  <si>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</si>
  <si>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</si>
  <si>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</si>
  <si>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</si>
  <si>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</si>
  <si>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</si>
  <si>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</si>
  <si>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</si>
  <si>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</si>
  <si>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</si>
  <si>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</si>
  <si>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</si>
  <si>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</si>
  <si>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</si>
  <si>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</si>
  <si>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</si>
  <si>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</si>
  <si>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</si>
  <si>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</si>
  <si>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</si>
  <si>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</si>
  <si>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</si>
  <si>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</si>
  <si>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</si>
  <si>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</si>
  <si>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</si>
  <si>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</si>
  <si>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</si>
  <si>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</si>
  <si>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</si>
  <si>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</si>
  <si>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</si>
  <si>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</si>
  <si>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</si>
  <si>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</si>
  <si>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</si>
  <si>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</si>
  <si>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</si>
  <si>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</si>
  <si>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</si>
  <si>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</si>
  <si>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</si>
  <si>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</si>
  <si>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</si>
  <si>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</si>
  <si>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</si>
  <si>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</si>
  <si>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</si>
  <si>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</si>
  <si>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</si>
  <si>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</si>
  <si>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</si>
  <si>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</si>
  <si>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</si>
  <si>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</si>
  <si>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</si>
  <si>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</si>
  <si>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</si>
  <si>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</si>
  <si>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</si>
  <si>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</si>
  <si>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</si>
  <si>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</si>
  <si>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</si>
  <si>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</si>
  <si>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</si>
  <si>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</si>
  <si>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</si>
  <si>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</si>
  <si>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</si>
  <si>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</si>
  <si>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</si>
  <si>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</si>
  <si>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</si>
  <si>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</si>
  <si>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</si>
  <si>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</si>
  <si>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</si>
  <si>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</si>
  <si>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</si>
  <si>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</si>
  <si>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</si>
  <si>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</si>
  <si>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</si>
  <si>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</si>
  <si>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</si>
  <si>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</si>
  <si>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</si>
  <si>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</si>
  <si>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</si>
  <si>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</si>
  <si>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</si>
  <si>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</si>
  <si>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</si>
  <si>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</si>
  <si>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</si>
  <si>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</si>
  <si>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</si>
  <si>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</si>
  <si>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</si>
  <si>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</si>
  <si>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</si>
  <si>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</si>
  <si>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</si>
  <si>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</si>
  <si>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</si>
  <si>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</si>
  <si>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</si>
  <si>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</si>
  <si>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</si>
  <si>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</si>
  <si>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</si>
  <si>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</si>
  <si>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</si>
  <si>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</si>
  <si>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</si>
  <si>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</si>
  <si>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</si>
  <si>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</si>
  <si>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</si>
  <si>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</si>
  <si>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</si>
  <si>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</si>
  <si>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</si>
  <si>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</si>
  <si>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</si>
  <si>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</si>
  <si>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</si>
  <si>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</si>
  <si>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</si>
  <si>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</si>
  <si>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</si>
  <si>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</si>
  <si>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</si>
  <si>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</si>
  <si>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</si>
  <si>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</si>
  <si>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</si>
  <si>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</si>
  <si>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</si>
  <si>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</si>
  <si>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</si>
  <si>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</si>
  <si>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</si>
  <si>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</si>
  <si>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</si>
  <si>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</si>
  <si>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</si>
  <si>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</si>
  <si>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</si>
  <si>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</si>
  <si>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</si>
  <si>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</si>
  <si>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</si>
  <si>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</si>
  <si>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</si>
  <si>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</si>
  <si>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</si>
  <si>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</si>
  <si>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</si>
  <si>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</si>
  <si>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</si>
  <si>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</si>
  <si>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</si>
  <si>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</si>
  <si>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</si>
  <si>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</si>
  <si>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</si>
  <si>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</si>
  <si>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</si>
  <si>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</si>
  <si>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</si>
  <si>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</si>
  <si>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</si>
  <si>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</si>
  <si>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</si>
  <si>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</si>
  <si>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</si>
  <si>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</si>
  <si>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</si>
  <si>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</si>
  <si>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</si>
  <si>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</si>
  <si>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</si>
  <si>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</si>
  <si>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</si>
  <si>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</si>
  <si>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</si>
  <si>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</si>
  <si>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</si>
  <si>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</si>
  <si>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</si>
  <si>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</si>
  <si>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</si>
  <si>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</si>
  <si>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</si>
  <si>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</si>
  <si>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</si>
  <si>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</si>
  <si>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</si>
  <si>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</si>
  <si>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</si>
  <si>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</si>
  <si>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</si>
  <si>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</si>
  <si>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</si>
  <si>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</si>
  <si>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</si>
  <si>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</si>
  <si>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</si>
  <si>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</si>
  <si>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</si>
  <si>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</si>
  <si>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</si>
  <si>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</si>
  <si>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</si>
  <si>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</si>
  <si>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</si>
  <si>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</si>
  <si>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</si>
  <si>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</si>
  <si>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</si>
  <si>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</si>
  <si>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</si>
  <si>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</si>
  <si>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</si>
  <si>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</si>
  <si>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</si>
  <si>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</si>
  <si>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</si>
  <si>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</si>
  <si>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</si>
  <si>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</si>
  <si>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</si>
  <si>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</si>
  <si>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</si>
  <si>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</si>
  <si>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</si>
  <si>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</si>
  <si>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</si>
  <si>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</si>
  <si>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</si>
  <si>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</si>
  <si>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</si>
  <si>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</si>
  <si>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</si>
  <si>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</si>
  <si>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</si>
  <si>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</si>
  <si>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</si>
  <si>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</si>
  <si>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</si>
  <si>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</si>
  <si>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</si>
  <si>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</si>
  <si>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</si>
  <si>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</si>
  <si>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</si>
  <si>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</si>
  <si>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</si>
  <si>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</si>
  <si>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</si>
  <si>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</si>
  <si>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</si>
  <si>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</si>
  <si>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</si>
  <si>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</si>
  <si>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</si>
  <si>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</si>
  <si>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</si>
  <si>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</si>
  <si>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</si>
  <si>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</si>
  <si>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</si>
  <si>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</si>
  <si>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</si>
  <si>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</si>
  <si>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</si>
  <si>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</si>
  <si>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</si>
  <si>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</si>
  <si>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</si>
  <si>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</si>
  <si>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</si>
  <si>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</si>
  <si>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</si>
  <si>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</si>
  <si>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</si>
  <si>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</si>
  <si>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</si>
  <si>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</si>
  <si>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</si>
  <si>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</si>
  <si>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</si>
  <si>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</si>
  <si>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</si>
  <si>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</si>
  <si>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</si>
  <si>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</si>
  <si>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</si>
  <si>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</si>
  <si>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</si>
  <si>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</si>
  <si>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</si>
  <si>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</si>
  <si>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</si>
  <si>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</si>
  <si>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</si>
  <si>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</si>
  <si>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</si>
  <si>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</si>
  <si>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</si>
  <si>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</si>
  <si>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</si>
  <si>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</si>
  <si>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</si>
  <si>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</si>
  <si>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</si>
  <si>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</si>
  <si>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</si>
  <si>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</si>
  <si>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</si>
  <si>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</si>
  <si>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</si>
  <si>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</si>
  <si>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</si>
  <si>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</si>
  <si>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</si>
  <si>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</si>
  <si>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</si>
  <si>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</si>
  <si>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</si>
  <si>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</si>
  <si>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</si>
  <si>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</si>
  <si>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</si>
  <si>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</si>
  <si>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</si>
  <si>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</si>
  <si>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</si>
  <si>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</si>
  <si>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</si>
  <si>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</si>
  <si>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</si>
  <si>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</si>
  <si>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</si>
  <si>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</si>
  <si>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</si>
  <si>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</si>
  <si>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</si>
  <si>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</si>
  <si>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</si>
  <si>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</si>
  <si>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</si>
  <si>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</si>
  <si>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</si>
  <si>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</si>
  <si>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</si>
  <si>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</si>
  <si>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</si>
  <si>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</si>
  <si>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</si>
  <si>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</si>
  <si>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</si>
  <si>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</si>
  <si>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</si>
  <si>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</si>
  <si>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</si>
  <si>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</si>
  <si>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</si>
  <si>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</si>
  <si>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</si>
  <si>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</si>
  <si>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</si>
  <si>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</si>
  <si>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</si>
  <si>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</si>
  <si>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</si>
  <si>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</si>
  <si>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</si>
  <si>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</si>
  <si>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</si>
  <si>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</si>
  <si>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</si>
  <si>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</si>
  <si>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</si>
  <si>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</si>
  <si>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</si>
  <si>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</si>
  <si>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</si>
  <si>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</si>
  <si>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</si>
  <si>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</si>
  <si>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</si>
  <si>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</si>
  <si>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</si>
  <si>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</si>
  <si>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</si>
  <si>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</si>
  <si>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</si>
  <si>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</si>
  <si>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</si>
  <si>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</si>
  <si>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</si>
  <si>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</si>
  <si>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</si>
  <si>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</si>
  <si>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</si>
  <si>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</si>
  <si>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</si>
  <si>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</si>
  <si>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</si>
  <si>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</si>
  <si>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</si>
  <si>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</si>
  <si>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</si>
  <si>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</si>
  <si>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</si>
  <si>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</si>
  <si>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</si>
  <si>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</si>
  <si>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</si>
  <si>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</si>
  <si>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</si>
  <si>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</si>
  <si>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</si>
  <si>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</si>
  <si>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</si>
  <si>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</si>
  <si>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</si>
  <si>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</si>
  <si>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</si>
  <si>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</si>
  <si>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</si>
  <si>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</si>
  <si>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</si>
  <si>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</si>
  <si>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</si>
  <si>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</si>
  <si>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</si>
  <si>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</si>
  <si>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</si>
  <si>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</si>
  <si>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</si>
  <si>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</si>
  <si>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</si>
  <si>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</si>
  <si>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</si>
  <si>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</si>
  <si>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</si>
  <si>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</si>
  <si>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</si>
  <si>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</si>
  <si>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</si>
  <si>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</si>
  <si>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</si>
  <si>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</si>
  <si>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</si>
  <si>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</si>
  <si>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</si>
  <si>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</si>
  <si>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</si>
  <si>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</si>
  <si>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</si>
  <si>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</si>
  <si>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</si>
  <si>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</si>
  <si>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</si>
  <si>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</si>
  <si>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</si>
  <si>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</si>
  <si>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</si>
  <si>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</si>
  <si>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</si>
  <si>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</si>
  <si>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</si>
  <si>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</si>
  <si>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</si>
  <si>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</si>
  <si>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</si>
  <si>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</si>
  <si>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</si>
  <si>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</si>
  <si>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</si>
  <si>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</si>
  <si>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</si>
  <si>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</si>
  <si>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</si>
  <si>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</si>
  <si>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</si>
  <si>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</si>
  <si>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</si>
  <si>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</si>
  <si>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</si>
  <si>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</si>
  <si>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</si>
  <si>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</si>
  <si>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</si>
  <si>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</si>
  <si>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</si>
  <si>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</si>
  <si>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</si>
  <si>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</si>
  <si>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</si>
  <si>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</si>
  <si>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</si>
  <si>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</si>
  <si>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</si>
  <si>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</si>
  <si>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</si>
  <si>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</si>
  <si>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</si>
  <si>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</si>
  <si>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</si>
  <si>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</si>
  <si>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</si>
  <si>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</si>
  <si>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</si>
  <si>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</si>
  <si>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</si>
  <si>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</si>
  <si>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</si>
  <si>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</si>
  <si>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</si>
  <si>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</si>
  <si>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</si>
  <si>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</si>
  <si>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</si>
  <si>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</si>
  <si>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</si>
  <si>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</si>
  <si>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</si>
  <si>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</si>
  <si>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</si>
  <si>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</si>
  <si>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</si>
  <si>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</si>
  <si>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</si>
  <si>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</si>
  <si>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</si>
  <si>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</si>
  <si>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</si>
  <si>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</si>
  <si>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</si>
  <si>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</si>
  <si>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</si>
  <si>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</si>
  <si>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</si>
  <si>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</si>
  <si>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</si>
  <si>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</si>
  <si>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</si>
  <si>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</si>
  <si>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</si>
  <si>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</si>
  <si>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</si>
  <si>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</si>
  <si>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</si>
  <si>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</si>
  <si>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</si>
  <si>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</si>
  <si>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</si>
  <si>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</si>
  <si>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</si>
  <si>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</si>
  <si>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</si>
  <si>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</si>
  <si>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</si>
  <si>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</si>
  <si>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</si>
  <si>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</si>
  <si>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</si>
  <si>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</si>
  <si>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</si>
  <si>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</si>
  <si>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</si>
  <si>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</si>
  <si>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</si>
  <si>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</si>
  <si>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</si>
  <si>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</si>
  <si>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</si>
  <si>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</si>
  <si>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</si>
  <si>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</si>
  <si>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</si>
  <si>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</si>
  <si>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</si>
  <si>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</si>
  <si>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</si>
  <si>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</si>
  <si>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</si>
  <si>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</si>
  <si>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</si>
  <si>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</si>
  <si>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</si>
  <si>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</si>
  <si>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</si>
  <si>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</si>
  <si>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</si>
  <si>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</si>
  <si>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</si>
  <si>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</si>
  <si>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</si>
  <si>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</si>
  <si>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</si>
  <si>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</si>
  <si>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</si>
  <si>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</si>
  <si>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</si>
  <si>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</si>
  <si>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</si>
  <si>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</si>
  <si>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</si>
  <si>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</si>
  <si>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</si>
  <si>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</si>
  <si>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</si>
  <si>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</si>
  <si>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</si>
  <si>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</si>
  <si>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</si>
  <si>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</si>
  <si>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</si>
  <si>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</si>
  <si>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</si>
  <si>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</si>
  <si>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</si>
  <si>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</si>
  <si>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</si>
  <si>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</si>
  <si>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</si>
  <si>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</si>
  <si>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</si>
  <si>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</si>
  <si>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</si>
  <si>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</si>
  <si>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</si>
  <si>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</si>
  <si>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</si>
  <si>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</si>
  <si>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</si>
  <si>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</si>
  <si>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</si>
  <si>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</si>
  <si>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</si>
  <si>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</si>
  <si>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</si>
  <si>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</si>
  <si>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</si>
  <si>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</si>
  <si>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</si>
  <si>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</si>
  <si>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</si>
  <si>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</si>
  <si>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</si>
  <si>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</si>
  <si>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</si>
  <si>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</si>
  <si>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</si>
  <si>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</si>
  <si>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</si>
  <si>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</si>
  <si>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</si>
  <si>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</si>
  <si>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</si>
  <si>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</si>
  <si>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</si>
  <si>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</si>
  <si>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</si>
  <si>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</si>
  <si>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</si>
  <si>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</si>
  <si>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</si>
  <si>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</si>
  <si>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</si>
  <si>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</si>
  <si>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</si>
  <si>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</si>
  <si>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</si>
  <si>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</si>
  <si>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</si>
  <si>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</si>
  <si>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</si>
  <si>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</si>
  <si>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</si>
  <si>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</si>
  <si>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</si>
  <si>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</si>
  <si>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</si>
  <si>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</si>
  <si>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</si>
  <si>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</si>
  <si>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</si>
  <si>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</si>
  <si>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</si>
  <si>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</si>
  <si>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</si>
  <si>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</si>
  <si>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</si>
  <si>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</si>
  <si>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</si>
  <si>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</si>
  <si>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</si>
  <si>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</si>
  <si>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</si>
  <si>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</si>
  <si>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</si>
  <si>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</si>
  <si>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</si>
  <si>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</si>
  <si>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</si>
  <si>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</si>
  <si>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</si>
  <si>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</si>
  <si>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</si>
  <si>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</si>
  <si>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</si>
  <si>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</si>
  <si>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</si>
  <si>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</si>
  <si>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</si>
  <si>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</si>
  <si>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</si>
  <si>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</si>
  <si>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</si>
  <si>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</si>
  <si>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</si>
  <si>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</si>
  <si>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</si>
  <si>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</si>
  <si>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</si>
  <si>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</si>
  <si>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</si>
  <si>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</si>
  <si>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</si>
  <si>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</si>
  <si>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</si>
  <si>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</si>
  <si>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</si>
  <si>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</si>
  <si>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</si>
  <si>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</si>
  <si>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</si>
  <si>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</si>
  <si>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</si>
  <si>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</si>
  <si>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</si>
  <si>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</si>
  <si>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</si>
  <si>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</si>
  <si>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</si>
  <si>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</si>
  <si>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</si>
  <si>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</si>
  <si>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</si>
  <si>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</si>
  <si>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</si>
  <si>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</si>
  <si>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</si>
  <si>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</si>
  <si>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</si>
  <si>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</si>
  <si>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</si>
  <si>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</si>
  <si>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</si>
  <si>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</si>
  <si>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</si>
  <si>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</si>
  <si>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</si>
  <si>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</si>
  <si>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</si>
  <si>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</si>
  <si>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</si>
  <si>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</si>
  <si>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</si>
  <si>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</si>
  <si>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</si>
  <si>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</si>
  <si>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</si>
  <si>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</si>
  <si>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</si>
  <si>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</si>
  <si>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</si>
  <si>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</si>
  <si>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</si>
  <si>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</si>
  <si>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</si>
  <si>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</si>
  <si>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</si>
  <si>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</si>
  <si>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</si>
  <si>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</si>
  <si>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</si>
  <si>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</si>
  <si>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</si>
  <si>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</si>
  <si>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</si>
  <si>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</si>
  <si>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</si>
  <si>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</si>
  <si>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</si>
  <si>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</si>
  <si>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</si>
  <si>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</si>
  <si>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</si>
  <si>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</si>
  <si>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</si>
  <si>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</si>
  <si>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</si>
  <si>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</si>
  <si>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</si>
  <si>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</si>
  <si>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</si>
  <si>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</si>
  <si>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</si>
  <si>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</si>
  <si>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</si>
  <si>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</si>
  <si>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</si>
  <si>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</si>
  <si>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</si>
  <si>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</si>
  <si>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</si>
  <si>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</si>
  <si>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</si>
  <si>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</si>
  <si>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</si>
  <si>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</si>
  <si>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</si>
  <si>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</si>
  <si>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</si>
  <si>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</si>
  <si>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</si>
  <si>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</si>
  <si>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</si>
  <si>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</si>
  <si>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</si>
  <si>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</si>
  <si>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</si>
  <si>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</si>
  <si>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</si>
  <si>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</si>
  <si>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</si>
  <si>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</si>
  <si>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</si>
  <si>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</si>
  <si>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</si>
  <si>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</si>
  <si>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</si>
  <si>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</si>
  <si>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</si>
  <si>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</si>
  <si>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</si>
  <si>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</si>
  <si>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</si>
  <si>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</si>
  <si>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</si>
  <si>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</si>
  <si>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</si>
  <si>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</si>
  <si>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</si>
  <si>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</si>
  <si>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</si>
  <si>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</si>
  <si>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</si>
  <si>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</si>
  <si>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</si>
  <si>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</si>
  <si>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</si>
  <si>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</si>
  <si>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</si>
  <si>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</si>
  <si>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</si>
  <si>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</si>
  <si>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</si>
  <si>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</si>
  <si>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</si>
  <si>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</si>
  <si>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</si>
  <si>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</si>
  <si>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</si>
  <si>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</si>
  <si>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</si>
  <si>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</si>
  <si>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</si>
  <si>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</si>
  <si>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</si>
  <si>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</si>
  <si>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</si>
  <si>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</si>
  <si>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</si>
  <si>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</si>
  <si>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</si>
  <si>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</si>
  <si>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</si>
  <si>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</si>
  <si>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</si>
  <si>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</si>
  <si>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</si>
  <si>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</si>
  <si>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</si>
  <si>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</si>
  <si>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</si>
  <si>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</si>
  <si>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</si>
  <si>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</si>
  <si>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</si>
  <si>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</si>
  <si>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</si>
  <si>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</si>
  <si>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</si>
  <si>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</si>
  <si>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</si>
  <si>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</si>
  <si>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</si>
  <si>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</si>
  <si>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</si>
  <si>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</si>
  <si>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</si>
  <si>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</si>
  <si>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</si>
  <si>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</si>
  <si>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</si>
  <si>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</si>
  <si>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</si>
  <si>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</si>
  <si>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</si>
  <si>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</si>
  <si>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</si>
  <si>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</si>
  <si>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</si>
  <si>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</si>
  <si>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</si>
  <si>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</si>
  <si>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</si>
  <si>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</si>
  <si>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</si>
  <si>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</si>
  <si>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</si>
  <si>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</si>
  <si>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</si>
  <si>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</si>
  <si>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</si>
  <si>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</si>
  <si>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</si>
  <si>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</si>
  <si>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</si>
  <si>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</si>
  <si>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</si>
  <si>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</si>
  <si>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</si>
  <si>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</si>
  <si>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</si>
  <si>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</si>
  <si>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</si>
  <si>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</si>
  <si>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</si>
  <si>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</si>
  <si>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</si>
  <si>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</si>
  <si>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</si>
  <si>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</si>
  <si>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</si>
  <si>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</si>
  <si>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</si>
  <si>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</si>
  <si>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</si>
  <si>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</si>
  <si>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</si>
  <si>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</si>
  <si>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</si>
  <si>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</si>
  <si>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</si>
  <si>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</si>
  <si>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</si>
  <si>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</si>
  <si>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</si>
  <si>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</si>
  <si>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</si>
  <si>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</si>
  <si>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</si>
  <si>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</si>
  <si>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</si>
  <si>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</si>
  <si>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</si>
  <si>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</si>
  <si>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</si>
  <si>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</si>
  <si>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</si>
  <si>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</si>
  <si>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</si>
  <si>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</si>
  <si>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</si>
  <si>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</si>
  <si>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</si>
  <si>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</si>
  <si>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</si>
  <si>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</si>
  <si>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</si>
  <si>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</si>
  <si>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</si>
  <si>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</si>
  <si>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</si>
  <si>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</si>
  <si>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</si>
  <si>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</si>
  <si>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</si>
  <si>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</si>
  <si>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</si>
  <si>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</si>
  <si>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</si>
  <si>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</si>
  <si>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</si>
  <si>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</si>
  <si>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</si>
  <si>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</si>
  <si>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</si>
  <si>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</si>
  <si>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</si>
  <si>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</si>
  <si>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</si>
  <si>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</si>
  <si>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</si>
  <si>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</si>
  <si>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</si>
  <si>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</si>
  <si>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</si>
  <si>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</si>
  <si>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</si>
  <si>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</si>
  <si>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</si>
  <si>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</si>
  <si>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</si>
  <si>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</si>
  <si>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</si>
  <si>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</si>
  <si>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</si>
  <si>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</si>
  <si>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</si>
  <si>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</si>
  <si>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</si>
  <si>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</si>
  <si>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</si>
  <si>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</si>
  <si>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</si>
  <si>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</si>
  <si>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</si>
  <si>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</si>
  <si>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</si>
  <si>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</si>
  <si>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</si>
  <si>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</si>
  <si>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</si>
  <si>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</si>
  <si>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</si>
  <si>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</si>
  <si>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</si>
  <si>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</si>
  <si>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</si>
  <si>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</si>
  <si>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</si>
  <si>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</si>
  <si>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</si>
  <si>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</si>
  <si>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</si>
  <si>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</si>
  <si>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</si>
  <si>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</si>
  <si>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</si>
  <si>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</si>
  <si>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</si>
  <si>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</si>
  <si>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</si>
  <si>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</si>
  <si>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</si>
  <si>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</si>
  <si>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</si>
  <si>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</si>
  <si>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</si>
  <si>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</si>
  <si>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</si>
  <si>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</si>
  <si>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</si>
  <si>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</si>
  <si>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</si>
  <si>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</si>
  <si>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</si>
  <si>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</si>
  <si>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</si>
  <si>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</si>
  <si>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</si>
  <si>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</si>
  <si>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</si>
  <si>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</si>
  <si>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</si>
  <si>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</si>
  <si>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</si>
  <si>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</si>
  <si>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</si>
  <si>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</si>
  <si>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</si>
  <si>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</si>
  <si>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</si>
  <si>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</si>
  <si>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</si>
  <si>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</si>
  <si>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</si>
  <si>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</si>
  <si>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</si>
  <si>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</si>
  <si>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</si>
  <si>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</si>
  <si>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</si>
  <si>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</si>
  <si>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</si>
  <si>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</si>
  <si>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</si>
  <si>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</si>
  <si>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</si>
  <si>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</si>
  <si>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</si>
  <si>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</si>
  <si>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</si>
  <si>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</si>
  <si>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</si>
  <si>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</si>
  <si>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</si>
  <si>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</si>
  <si>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</si>
  <si>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</si>
  <si>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</si>
  <si>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</si>
  <si>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</si>
  <si>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</si>
  <si>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</si>
  <si>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</si>
  <si>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</si>
  <si>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</si>
  <si>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</si>
  <si>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</si>
  <si>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</si>
  <si>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</si>
  <si>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</si>
  <si>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</si>
  <si>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</si>
  <si>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</si>
  <si>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</si>
  <si>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</si>
  <si>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</si>
  <si>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</si>
  <si>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</si>
  <si>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</si>
  <si>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</si>
  <si>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</si>
  <si>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</si>
  <si>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</si>
  <si>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</si>
  <si>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</si>
  <si>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</si>
  <si>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</si>
  <si>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</si>
  <si>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</si>
  <si>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</si>
  <si>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</si>
  <si>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</si>
  <si>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</si>
  <si>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</si>
  <si>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</si>
  <si>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</si>
  <si>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</si>
  <si>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</si>
  <si>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</si>
  <si>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</si>
  <si>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</si>
  <si>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</si>
  <si>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</si>
  <si>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</si>
  <si>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</si>
  <si>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</si>
  <si>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</si>
  <si>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</si>
  <si>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</si>
  <si>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</si>
  <si>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</si>
  <si>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</si>
  <si>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</si>
  <si>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</si>
  <si>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</si>
  <si>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</si>
  <si>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</si>
  <si>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</si>
  <si>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</si>
  <si>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</si>
  <si>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</si>
  <si>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</si>
  <si>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</si>
  <si>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</si>
  <si>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</si>
  <si>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</si>
  <si>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</si>
  <si>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</si>
  <si>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</si>
  <si>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</si>
  <si>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</si>
  <si>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</si>
  <si>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</si>
  <si>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</si>
  <si>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</si>
  <si>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</si>
  <si>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</si>
  <si>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</si>
  <si>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</si>
  <si>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</si>
  <si>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</si>
  <si>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</si>
  <si>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</si>
  <si>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</si>
  <si>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</si>
  <si>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</si>
  <si>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</si>
  <si>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</si>
  <si>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</si>
  <si>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</si>
  <si>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</si>
  <si>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</si>
  <si>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</si>
  <si>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</si>
  <si>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</si>
  <si>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</si>
  <si>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</si>
  <si>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</si>
  <si>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</si>
  <si>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</si>
  <si>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</si>
  <si>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</si>
  <si>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</si>
  <si>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</si>
  <si>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</si>
  <si>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</si>
  <si>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</si>
  <si>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</si>
  <si>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</si>
  <si>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</si>
  <si>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</si>
  <si>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</si>
  <si>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</si>
  <si>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</si>
  <si>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</si>
  <si>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</si>
  <si>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</si>
  <si>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</si>
  <si>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</si>
  <si>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</si>
  <si>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</si>
  <si>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</si>
  <si>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</si>
  <si>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</si>
  <si>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</si>
  <si>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</si>
  <si>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</si>
  <si>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</si>
  <si>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</si>
  <si>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</si>
  <si>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</si>
  <si>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</si>
  <si>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</si>
  <si>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</si>
  <si>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</si>
  <si>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</si>
  <si>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</si>
  <si>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</si>
  <si>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</si>
  <si>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</si>
  <si>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</si>
  <si>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</si>
  <si>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</si>
  <si>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</si>
  <si>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</si>
  <si>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</si>
  <si>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</si>
  <si>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</si>
  <si>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</si>
  <si>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</si>
  <si>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</si>
  <si>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</si>
  <si>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</si>
  <si>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</si>
  <si>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</si>
  <si>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</si>
  <si>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</si>
  <si>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</si>
  <si>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</si>
  <si>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</si>
  <si>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</si>
  <si>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</si>
  <si>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</si>
  <si>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</si>
  <si>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</si>
  <si>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</si>
  <si>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</si>
  <si>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</si>
  <si>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</si>
  <si>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</si>
  <si>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</si>
  <si>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</si>
  <si>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</si>
  <si>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</si>
  <si>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</si>
  <si>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</si>
  <si>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</si>
  <si>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</si>
  <si>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</si>
  <si>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</si>
  <si>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</si>
  <si>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</si>
  <si>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</si>
  <si>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</si>
  <si>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</si>
  <si>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</si>
  <si>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</si>
  <si>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</si>
  <si>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</si>
  <si>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</si>
  <si>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</si>
  <si>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</si>
  <si>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</si>
  <si>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</si>
  <si>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</si>
  <si>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</si>
  <si>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</si>
  <si>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</si>
  <si>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</si>
  <si>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</si>
  <si>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</si>
  <si>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</si>
  <si>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</si>
  <si>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</si>
  <si>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</si>
  <si>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</si>
  <si>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</si>
  <si>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</si>
  <si>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</si>
  <si>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</si>
  <si>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</si>
  <si>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</si>
  <si>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</si>
  <si>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</si>
  <si>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</si>
  <si>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</si>
  <si>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</si>
  <si>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</si>
  <si>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</si>
  <si>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</si>
  <si>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</si>
  <si>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</si>
  <si>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</si>
  <si>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</si>
  <si>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</si>
  <si>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</si>
  <si>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</si>
  <si>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</si>
  <si>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</si>
  <si>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</si>
  <si>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</si>
  <si>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</si>
  <si>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</si>
  <si>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</si>
  <si>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</si>
  <si>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</si>
  <si>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</si>
  <si>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</si>
  <si>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</si>
  <si>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</si>
  <si>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</si>
  <si>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</si>
  <si>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</si>
  <si>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</si>
  <si>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</si>
  <si>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</si>
  <si>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</si>
  <si>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</si>
  <si>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</si>
  <si>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</si>
  <si>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</si>
  <si>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</si>
  <si>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</si>
  <si>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</si>
  <si>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</si>
  <si>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</si>
  <si>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</si>
  <si>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</si>
  <si>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</si>
  <si>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</si>
  <si>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</si>
  <si>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</si>
  <si>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</si>
  <si>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</si>
  <si>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</si>
  <si>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</si>
  <si>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</si>
  <si>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</si>
  <si>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</si>
  <si>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</si>
  <si>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</si>
  <si>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</si>
  <si>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</si>
  <si>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</si>
  <si>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</si>
  <si>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</si>
  <si>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</si>
  <si>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</si>
  <si>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</si>
  <si>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</si>
  <si>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</si>
  <si>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</si>
  <si>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</si>
  <si>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</si>
  <si>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</si>
  <si>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</si>
  <si>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</si>
  <si>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</si>
  <si>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</si>
  <si>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</si>
  <si>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</si>
  <si>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</si>
  <si>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</si>
  <si>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</si>
  <si>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</si>
  <si>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</si>
  <si>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</si>
  <si>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</si>
  <si>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</si>
  <si>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</si>
  <si>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</si>
  <si>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</si>
  <si>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</si>
  <si>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</si>
  <si>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</si>
  <si>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</si>
  <si>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</si>
  <si>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</si>
  <si>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</si>
  <si>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</si>
  <si>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</si>
  <si>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</si>
  <si>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</si>
  <si>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</si>
  <si>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</si>
  <si>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</si>
  <si>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</si>
  <si>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</si>
  <si>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</si>
  <si>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</si>
  <si>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</si>
  <si>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</si>
  <si>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</si>
  <si>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</si>
  <si>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</si>
  <si>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</si>
  <si>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</si>
  <si>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</si>
  <si>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</si>
  <si>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</si>
  <si>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</si>
  <si>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</si>
  <si>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</si>
  <si>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</si>
  <si>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</si>
  <si>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</si>
  <si>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</si>
  <si>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</si>
  <si>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</si>
  <si>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</si>
  <si>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</si>
  <si>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</si>
  <si>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</si>
  <si>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</si>
  <si>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</si>
  <si>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</si>
  <si>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</si>
  <si>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</si>
  <si>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</si>
  <si>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</si>
  <si>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</si>
  <si>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</si>
  <si>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</si>
  <si>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</si>
  <si>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</si>
  <si>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</si>
  <si>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</si>
  <si>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</si>
  <si>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</si>
  <si>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</si>
  <si>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</si>
  <si>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</si>
  <si>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</si>
  <si>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</si>
  <si>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</si>
  <si>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</si>
  <si>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</si>
  <si>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</si>
  <si>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</si>
  <si>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</si>
  <si>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</si>
  <si>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</si>
  <si>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</si>
  <si>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</si>
  <si>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</si>
  <si>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</si>
  <si>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</si>
  <si>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</si>
  <si>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</si>
  <si>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</si>
  <si>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</si>
  <si>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</si>
  <si>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</si>
  <si>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</si>
  <si>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</si>
  <si>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</si>
  <si>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</si>
  <si>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</si>
  <si>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</si>
  <si>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</si>
  <si>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</si>
  <si>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</si>
  <si>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</si>
  <si>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</si>
  <si>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</si>
  <si>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</si>
  <si>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</si>
  <si>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</si>
  <si>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</si>
  <si>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</si>
  <si>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</si>
  <si>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</si>
  <si>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</si>
  <si>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</si>
  <si>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</si>
  <si>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</si>
  <si>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</si>
  <si>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</si>
  <si>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</si>
  <si>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</si>
  <si>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</si>
  <si>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</si>
  <si>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</si>
  <si>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</si>
  <si>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</si>
  <si>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</si>
  <si>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</si>
  <si>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</si>
  <si>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</si>
  <si>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</si>
  <si>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</si>
  <si>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</si>
  <si>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</si>
  <si>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</si>
  <si>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</si>
  <si>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</si>
  <si>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</si>
  <si>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</si>
  <si>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</si>
  <si>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</si>
  <si>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</si>
  <si>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</si>
  <si>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</si>
  <si>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</si>
  <si>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</si>
  <si>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</si>
  <si>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</si>
  <si>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</si>
  <si>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</si>
  <si>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</si>
  <si>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</si>
  <si>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</si>
  <si>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</si>
  <si>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</si>
  <si>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</si>
  <si>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</si>
  <si>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</si>
  <si>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</si>
  <si>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</si>
  <si>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</si>
  <si>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</si>
  <si>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</si>
  <si>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</si>
  <si>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</si>
  <si>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</si>
  <si>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</si>
  <si>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</si>
  <si>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</si>
  <si>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</si>
  <si>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</si>
  <si>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</si>
  <si>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</si>
  <si>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</si>
  <si>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</si>
  <si>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</si>
  <si>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</si>
  <si>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</si>
  <si>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</si>
  <si>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</si>
  <si>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</si>
  <si>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</si>
  <si>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</si>
  <si>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</si>
  <si>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</si>
  <si>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</si>
  <si>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</si>
  <si>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</si>
  <si>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</si>
  <si>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</si>
  <si>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</si>
  <si>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</si>
  <si>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</si>
  <si>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</si>
  <si>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</si>
  <si>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</si>
  <si>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</si>
  <si>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</si>
  <si>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</si>
  <si>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</si>
  <si>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</si>
  <si>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</si>
  <si>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</si>
  <si>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</si>
  <si>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</si>
  <si>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</si>
  <si>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</si>
  <si>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</si>
  <si>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</si>
  <si>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</si>
  <si>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</si>
  <si>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</si>
  <si>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</si>
  <si>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</si>
  <si>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</si>
  <si>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</si>
  <si>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</si>
  <si>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</si>
  <si>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</si>
  <si>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</si>
  <si>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</si>
  <si>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</si>
  <si>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</si>
  <si>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</si>
  <si>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</si>
  <si>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</si>
  <si>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</si>
  <si>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</si>
  <si>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</si>
  <si>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</si>
  <si>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</si>
  <si>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</si>
  <si>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</si>
  <si>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</si>
  <si>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</si>
  <si>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</si>
  <si>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</si>
  <si>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</si>
  <si>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</si>
  <si>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</si>
  <si>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</si>
  <si>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</si>
  <si>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</si>
  <si>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</si>
  <si>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</si>
  <si>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</si>
  <si>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</si>
  <si>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</si>
  <si>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</si>
  <si>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</si>
  <si>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</si>
  <si>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</si>
  <si>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</si>
  <si>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</si>
  <si>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</si>
  <si>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</si>
  <si>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</si>
  <si>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</si>
  <si>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</si>
  <si>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</si>
  <si>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</si>
  <si>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</si>
  <si>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</si>
  <si>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</si>
  <si>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</si>
  <si>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</si>
  <si>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</si>
  <si>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</si>
  <si>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</si>
  <si>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</si>
  <si>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</si>
  <si>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</si>
  <si>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</si>
  <si>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</si>
  <si>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</si>
  <si>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</si>
  <si>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</si>
  <si>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</si>
  <si>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</si>
  <si>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</si>
  <si>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</si>
  <si>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</si>
  <si>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</si>
  <si>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</si>
  <si>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</si>
  <si>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</si>
  <si>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</si>
  <si>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</si>
  <si>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</si>
  <si>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</si>
  <si>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</si>
  <si>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</si>
  <si>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</si>
  <si>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</si>
  <si>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</si>
  <si>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</si>
  <si>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</si>
  <si>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</si>
  <si>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</si>
  <si>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</si>
  <si>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</si>
  <si>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</si>
  <si>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</si>
  <si>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</si>
  <si>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</si>
  <si>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</si>
  <si>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</si>
  <si>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</si>
  <si>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</si>
  <si>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</si>
  <si>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</si>
  <si>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</si>
  <si>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</si>
  <si>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</si>
  <si>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</si>
  <si>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</si>
  <si>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</si>
  <si>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</si>
  <si>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</si>
  <si>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</si>
  <si>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</si>
  <si>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</si>
  <si>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</si>
  <si>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</si>
  <si>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</si>
  <si>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</si>
  <si>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</si>
  <si>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</si>
  <si>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</si>
  <si>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</si>
  <si>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</si>
  <si>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</si>
  <si>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</si>
  <si>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</si>
  <si>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</si>
  <si>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</si>
  <si>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</si>
  <si>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</si>
  <si>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</si>
  <si>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</si>
  <si>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</si>
  <si>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</si>
  <si>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</si>
  <si>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</si>
  <si>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</si>
  <si>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</si>
  <si>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</si>
  <si>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</si>
  <si>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</si>
  <si>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</si>
  <si>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</si>
  <si>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</si>
  <si>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</si>
  <si>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</si>
  <si>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</si>
  <si>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</si>
  <si>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</si>
  <si>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</si>
  <si>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</si>
  <si>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</si>
  <si>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</si>
  <si>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</si>
  <si>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</si>
  <si>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</si>
  <si>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</si>
  <si>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</si>
  <si>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</si>
  <si>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</si>
  <si>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</si>
  <si>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</si>
  <si>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</si>
  <si>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</si>
  <si>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</si>
  <si>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</si>
  <si>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</si>
  <si>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</si>
  <si>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</si>
  <si>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</si>
  <si>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</si>
  <si>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</si>
  <si>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</si>
  <si>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</si>
  <si>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</si>
  <si>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</si>
  <si>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</si>
  <si>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</si>
  <si>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</si>
  <si>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</si>
  <si>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</si>
  <si>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</si>
  <si>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</si>
  <si>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</si>
  <si>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</si>
  <si>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</si>
  <si>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</si>
  <si>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</si>
  <si>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</si>
  <si>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</si>
  <si>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</si>
  <si>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</si>
  <si>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</si>
  <si>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</si>
  <si>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</si>
  <si>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</si>
  <si>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</si>
  <si>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</si>
  <si>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</si>
  <si>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</si>
  <si>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</si>
  <si>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</si>
  <si>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</si>
  <si>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</si>
  <si>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</si>
  <si>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</si>
  <si>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</si>
  <si>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</si>
  <si>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</si>
  <si>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</si>
  <si>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</si>
  <si>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</si>
  <si>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</si>
  <si>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</si>
  <si>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</si>
  <si>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</si>
  <si>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</si>
  <si>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</si>
  <si>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</si>
  <si>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</si>
  <si>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</si>
  <si>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</si>
  <si>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</si>
  <si>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</si>
  <si>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</si>
  <si>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</si>
  <si>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</si>
  <si>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</si>
  <si>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</si>
  <si>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</si>
  <si>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</si>
  <si>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</si>
  <si>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</si>
  <si>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</si>
  <si>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</si>
  <si>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</si>
  <si>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</si>
  <si>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</si>
  <si>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</si>
  <si>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</si>
  <si>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</si>
  <si>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</si>
  <si>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</si>
  <si>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</si>
  <si>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</si>
  <si>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</si>
  <si>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</si>
  <si>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</si>
  <si>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</si>
  <si>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</si>
  <si>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</si>
  <si>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</si>
  <si>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</si>
  <si>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</si>
  <si>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</si>
  <si>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</si>
  <si>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</si>
  <si>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</si>
  <si>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</si>
  <si>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</si>
  <si>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</si>
  <si>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</si>
  <si>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</si>
  <si>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</si>
  <si>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</si>
  <si>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</si>
  <si>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</si>
  <si>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</si>
  <si>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</si>
  <si>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</si>
  <si>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</si>
  <si>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</si>
  <si>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</si>
  <si>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</si>
  <si>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</si>
  <si>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</si>
  <si>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</si>
  <si>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</si>
  <si>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</si>
  <si>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</si>
  <si>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</si>
  <si>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</si>
  <si>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</si>
  <si>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</si>
  <si>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</si>
  <si>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</si>
  <si>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</si>
  <si>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</si>
  <si>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</si>
  <si>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</si>
  <si>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</si>
  <si>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</si>
  <si>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</si>
  <si>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</si>
  <si>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</si>
  <si>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</si>
  <si>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</si>
  <si>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</si>
  <si>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</si>
  <si>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</si>
  <si>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</si>
  <si>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</si>
  <si>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</si>
  <si>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</si>
  <si>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</si>
  <si>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</si>
  <si>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</si>
  <si>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</si>
  <si>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</si>
  <si>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</si>
  <si>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</si>
  <si>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</si>
  <si>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</si>
  <si>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</si>
  <si>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</si>
  <si>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</si>
  <si>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</si>
  <si>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</si>
  <si>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</si>
  <si>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</si>
  <si>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</si>
  <si>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</si>
  <si>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</si>
  <si>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</si>
  <si>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</si>
  <si>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</si>
  <si>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</si>
  <si>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</si>
  <si>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</si>
  <si>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</si>
  <si>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</si>
  <si>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</si>
  <si>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</si>
  <si>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</si>
  <si>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</si>
  <si>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</si>
  <si>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</si>
  <si>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</si>
  <si>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</si>
  <si>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</si>
  <si>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</si>
  <si>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</si>
  <si>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</si>
  <si>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</si>
  <si>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</si>
  <si>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</si>
  <si>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</si>
  <si>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</si>
  <si>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</si>
  <si>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</si>
  <si>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</si>
  <si>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</si>
  <si>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</si>
  <si>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</si>
  <si>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</si>
  <si>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</si>
  <si>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</si>
  <si>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</si>
  <si>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</si>
  <si>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</si>
  <si>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</si>
  <si>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</si>
  <si>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</si>
  <si>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</si>
  <si>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</si>
  <si>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</si>
  <si>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</si>
  <si>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</si>
  <si>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</si>
  <si>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</si>
  <si>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</si>
  <si>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</si>
  <si>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</si>
  <si>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</si>
  <si>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</si>
  <si>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</si>
  <si>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</si>
  <si>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</si>
  <si>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</si>
  <si>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</si>
  <si>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</si>
  <si>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</si>
  <si>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</si>
  <si>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</si>
  <si>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</si>
  <si>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</si>
  <si>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</si>
  <si>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</si>
  <si>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</si>
  <si>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</si>
  <si>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</si>
  <si>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</si>
  <si>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</si>
  <si>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</si>
  <si>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</si>
  <si>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</si>
  <si>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</si>
  <si>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</si>
  <si>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</si>
  <si>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</si>
  <si>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</si>
  <si>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</si>
  <si>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</si>
  <si>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</si>
  <si>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</si>
  <si>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</si>
  <si>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</si>
  <si>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</si>
  <si>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</si>
  <si>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</si>
  <si>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</si>
  <si>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</si>
  <si>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</si>
  <si>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</si>
  <si>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</si>
  <si>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</si>
  <si>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</si>
  <si>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</si>
  <si>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</si>
  <si>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</si>
  <si>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</si>
  <si>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</si>
  <si>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</si>
  <si>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</si>
  <si>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</si>
  <si>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</si>
  <si>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</si>
  <si>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</si>
  <si>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</si>
  <si>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</si>
  <si>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</si>
  <si>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</si>
  <si>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</si>
  <si>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</si>
  <si>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</si>
  <si>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</si>
  <si>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</si>
  <si>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</si>
  <si>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</si>
  <si>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</si>
  <si>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</si>
  <si>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</si>
  <si>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</si>
  <si>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</si>
  <si>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</si>
  <si>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</si>
  <si>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</si>
  <si>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</si>
  <si>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</si>
  <si>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</si>
  <si>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</si>
  <si>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</si>
  <si>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</si>
  <si>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</si>
  <si>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</si>
  <si>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</si>
  <si>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</si>
  <si>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</si>
  <si>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</si>
  <si>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</si>
  <si>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</si>
  <si>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</si>
  <si>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</si>
  <si>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</si>
  <si>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</si>
  <si>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</si>
  <si>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</si>
  <si>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</si>
  <si>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</si>
  <si>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</si>
  <si>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</si>
  <si>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</si>
  <si>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</si>
  <si>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</si>
  <si>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</si>
  <si>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</si>
  <si>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</si>
  <si>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</si>
  <si>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</si>
  <si>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</si>
  <si>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</si>
  <si>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</si>
  <si>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</si>
  <si>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</si>
  <si>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</si>
  <si>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</si>
  <si>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</si>
  <si>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</si>
  <si>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</si>
  <si>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</si>
  <si>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</si>
  <si>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</si>
  <si>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</si>
  <si>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</si>
  <si>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</si>
  <si>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</si>
  <si>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</si>
  <si>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</si>
  <si>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</si>
  <si>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</si>
  <si>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</si>
  <si>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</si>
  <si>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</si>
  <si>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</si>
  <si>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</si>
  <si>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</si>
  <si>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</si>
  <si>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</si>
  <si>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</si>
  <si>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</si>
  <si>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</si>
  <si>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</si>
  <si>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</si>
  <si>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</si>
  <si>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</si>
  <si>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</si>
  <si>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</si>
  <si>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</si>
  <si>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</si>
  <si>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</si>
  <si>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</si>
  <si>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</si>
  <si>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</si>
  <si>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</si>
  <si>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</si>
  <si>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</si>
  <si>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</si>
  <si>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</si>
  <si>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</si>
  <si>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</si>
  <si>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</si>
  <si>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</si>
  <si>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</si>
  <si>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</si>
  <si>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</si>
  <si>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</si>
  <si>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</si>
  <si>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</si>
  <si>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</si>
  <si>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</si>
  <si>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</si>
  <si>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</si>
  <si>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</si>
  <si>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</si>
  <si>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</si>
  <si>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</si>
  <si>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</si>
  <si>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</si>
  <si>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</si>
  <si>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</si>
  <si>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</si>
  <si>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</si>
  <si>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</si>
  <si>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</si>
  <si>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</si>
  <si>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</si>
  <si>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</si>
  <si>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</si>
  <si>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</si>
  <si>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</si>
  <si>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</si>
  <si>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</si>
  <si>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</si>
  <si>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</si>
  <si>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</si>
  <si>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</si>
  <si>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</si>
  <si>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</si>
  <si>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</si>
  <si>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</si>
  <si>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</si>
  <si>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</si>
  <si>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</si>
  <si>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</si>
  <si>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</si>
  <si>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</si>
  <si>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</si>
  <si>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</si>
  <si>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</si>
  <si>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</si>
  <si>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</si>
  <si>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</si>
  <si>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</si>
  <si>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</si>
  <si>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</si>
  <si>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</si>
  <si>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</si>
  <si>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</si>
  <si>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</si>
  <si>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</si>
  <si>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</si>
  <si>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</si>
  <si>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</si>
  <si>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</si>
  <si>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</si>
  <si>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</si>
  <si>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</si>
  <si>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</si>
  <si>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</si>
  <si>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</si>
  <si>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</si>
  <si>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</si>
  <si>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</si>
  <si>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</si>
  <si>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</si>
  <si>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</si>
  <si>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</si>
  <si>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</si>
  <si>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</si>
  <si>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</si>
  <si>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</si>
  <si>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</si>
  <si>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</si>
  <si>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</si>
  <si>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</si>
  <si>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</si>
  <si>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</si>
  <si>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</si>
  <si>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</si>
  <si>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</si>
  <si>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</si>
  <si>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</si>
  <si>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</si>
  <si>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</si>
  <si>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</si>
  <si>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</si>
  <si>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</si>
  <si>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</si>
  <si>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</si>
  <si>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</si>
  <si>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</si>
  <si>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</si>
  <si>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</si>
  <si>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</si>
  <si>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</si>
  <si>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</si>
  <si>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</si>
  <si>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</si>
  <si>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</si>
  <si>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</si>
  <si>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</si>
  <si>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</si>
  <si>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</si>
  <si>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</si>
  <si>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</si>
  <si>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</si>
  <si>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</si>
  <si>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</si>
  <si>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</si>
  <si>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</si>
  <si>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</si>
  <si>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</si>
  <si>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</si>
  <si>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</si>
  <si>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</si>
  <si>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</si>
  <si>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</si>
  <si>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</si>
  <si>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</si>
  <si>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</si>
  <si>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</si>
  <si>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</si>
  <si>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</si>
  <si>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</si>
  <si>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</si>
  <si>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</si>
  <si>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</si>
  <si>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</si>
  <si>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</si>
  <si>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</si>
  <si>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</si>
  <si>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</si>
  <si>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</si>
  <si>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</si>
  <si>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</si>
  <si>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</si>
  <si>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</si>
  <si>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</si>
  <si>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</si>
  <si>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</si>
  <si>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</si>
  <si>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</si>
  <si>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</si>
  <si>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</si>
  <si>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</si>
  <si>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</si>
  <si>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</si>
  <si>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</si>
  <si>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</si>
  <si>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</si>
  <si>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</si>
  <si>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</si>
  <si>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</si>
  <si>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</si>
  <si>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</si>
  <si>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</si>
  <si>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</si>
  <si>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</si>
  <si>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</si>
  <si>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</si>
  <si>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</si>
  <si>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</si>
  <si>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</si>
  <si>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</si>
  <si>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</si>
  <si>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</si>
  <si>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</si>
  <si>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</si>
  <si>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</si>
  <si>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</si>
  <si>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</si>
  <si>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</si>
  <si>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</si>
  <si>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</si>
  <si>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</si>
  <si>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</si>
  <si>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</si>
  <si>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</si>
  <si>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</si>
  <si>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</si>
  <si>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</si>
  <si>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</si>
  <si>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</si>
  <si>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</si>
  <si>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</si>
  <si>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</si>
  <si>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</si>
  <si>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</si>
  <si>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</si>
  <si>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</si>
  <si>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</si>
  <si>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</si>
  <si>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</si>
  <si>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</si>
  <si>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</si>
  <si>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</si>
  <si>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</si>
  <si>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</si>
  <si>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</si>
  <si>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</si>
  <si>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</si>
  <si>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</si>
  <si>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</si>
  <si>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</si>
  <si>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</si>
  <si>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</si>
  <si>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</si>
  <si>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</si>
  <si>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</si>
  <si>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</si>
  <si>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</si>
  <si>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</si>
  <si>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</si>
  <si>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</si>
  <si>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</si>
  <si>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</si>
  <si>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</si>
  <si>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</si>
  <si>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</si>
  <si>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</si>
  <si>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</si>
  <si>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</si>
  <si>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</si>
  <si>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</si>
  <si>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</si>
  <si>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</si>
  <si>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</si>
  <si>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</si>
  <si>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</si>
  <si>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</si>
  <si>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</si>
  <si>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</si>
  <si>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</si>
  <si>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</si>
  <si>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</si>
  <si>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</si>
  <si>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</si>
  <si>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</si>
  <si>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</si>
  <si>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</si>
  <si>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</si>
  <si>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</si>
  <si>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</si>
  <si>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</si>
  <si>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</si>
  <si>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</si>
  <si>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</si>
  <si>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</si>
  <si>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</si>
  <si>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</si>
  <si>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</si>
  <si>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</si>
  <si>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</si>
  <si>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</si>
  <si>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</si>
  <si>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</si>
  <si>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</si>
  <si>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</si>
  <si>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</si>
  <si>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</si>
  <si>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</si>
  <si>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</si>
  <si>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</si>
  <si>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</si>
  <si>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</si>
  <si>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</si>
  <si>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</si>
  <si>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</si>
  <si>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</si>
  <si>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</si>
  <si>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</si>
  <si>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</si>
  <si>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</si>
  <si>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</si>
  <si>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</si>
  <si>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</si>
  <si>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</si>
  <si>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</si>
  <si>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</si>
  <si>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</si>
  <si>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</si>
  <si>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</si>
  <si>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</si>
  <si>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</si>
  <si>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</si>
  <si>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</si>
  <si>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</si>
  <si>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</si>
  <si>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</si>
  <si>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</si>
  <si>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</si>
  <si>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</si>
  <si>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</si>
  <si>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</si>
  <si>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</si>
  <si>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</si>
  <si>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</si>
  <si>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</si>
  <si>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</si>
  <si>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</si>
  <si>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</si>
  <si>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</si>
  <si>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</si>
  <si>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</si>
  <si>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</si>
  <si>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</si>
  <si>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</si>
  <si>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</si>
  <si>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</si>
  <si>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</si>
  <si>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</si>
  <si>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</si>
  <si>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</si>
  <si>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</si>
  <si>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</si>
  <si>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</si>
  <si>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</si>
  <si>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</si>
  <si>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</si>
  <si>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</si>
  <si>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</si>
  <si>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</si>
  <si>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</si>
  <si>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</si>
  <si>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</si>
  <si>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</si>
  <si>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</si>
  <si>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</si>
  <si>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</si>
  <si>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</si>
  <si>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</si>
  <si>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</si>
  <si>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</si>
  <si>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</si>
  <si>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</si>
  <si>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</si>
  <si>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</si>
  <si>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</si>
  <si>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</si>
  <si>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</si>
  <si>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</si>
  <si>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</si>
  <si>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</si>
  <si>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</si>
  <si>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</si>
  <si>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</si>
  <si>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</si>
  <si>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</si>
  <si>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</si>
  <si>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</si>
  <si>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</si>
  <si>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</si>
  <si>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</si>
  <si>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</si>
  <si>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</si>
  <si>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</si>
  <si>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</si>
  <si>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</si>
  <si>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</si>
  <si>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</si>
  <si>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</si>
  <si>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</si>
  <si>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</si>
  <si>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</si>
  <si>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</si>
  <si>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</si>
  <si>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</si>
  <si>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</si>
  <si>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</si>
  <si>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</si>
  <si>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</si>
  <si>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</si>
  <si>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</si>
  <si>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</si>
  <si>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</si>
  <si>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</si>
  <si>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</si>
  <si>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</si>
  <si>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</si>
  <si>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</si>
  <si>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</si>
  <si>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</si>
  <si>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</si>
  <si>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</si>
  <si>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</si>
  <si>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</si>
  <si>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</si>
  <si>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</si>
  <si>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</si>
  <si>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</si>
  <si>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</si>
  <si>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</si>
  <si>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</si>
  <si>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</si>
  <si>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</si>
  <si>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</si>
  <si>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</si>
  <si>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</si>
  <si>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</si>
  <si>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</si>
  <si>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</si>
  <si>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</si>
  <si>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</si>
  <si>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</si>
  <si>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</si>
  <si>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</si>
  <si>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</si>
  <si>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</si>
  <si>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</si>
  <si>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</si>
  <si>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</si>
  <si>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</si>
  <si>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</si>
  <si>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</si>
  <si>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</si>
  <si>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</si>
  <si>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</si>
  <si>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</si>
  <si>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</si>
  <si>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</si>
  <si>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</si>
  <si>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</si>
  <si>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</si>
  <si>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</si>
  <si>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</si>
  <si>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</si>
  <si>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</si>
  <si>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</si>
  <si>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</si>
  <si>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</si>
  <si>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</si>
  <si>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</si>
  <si>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</si>
  <si>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</si>
  <si>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</si>
  <si>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</si>
  <si>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</si>
  <si>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</si>
  <si>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</si>
  <si>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</si>
  <si>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</si>
  <si>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</si>
  <si>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</si>
  <si>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</si>
  <si>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</si>
  <si>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</si>
  <si>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</si>
  <si>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</si>
  <si>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</si>
  <si>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</si>
  <si>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</si>
  <si>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</si>
  <si>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</si>
  <si>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</si>
  <si>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</si>
  <si>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</si>
  <si>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</si>
  <si>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</si>
  <si>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</si>
  <si>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</si>
  <si>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</si>
  <si>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</si>
  <si>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</si>
  <si>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</si>
  <si>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</si>
  <si>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</si>
  <si>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</si>
  <si>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</si>
  <si>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</si>
  <si>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</si>
  <si>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</si>
  <si>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</si>
  <si>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</si>
  <si>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</si>
  <si>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</si>
  <si>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</si>
  <si>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</si>
  <si>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</si>
  <si>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</si>
  <si>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</si>
  <si>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</si>
  <si>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</si>
  <si>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</si>
  <si>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</si>
  <si>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</si>
  <si>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</si>
  <si>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</si>
  <si>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</si>
  <si>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</si>
  <si>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</si>
  <si>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</si>
  <si>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</si>
  <si>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</si>
  <si>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</si>
  <si>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</si>
  <si>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</si>
  <si>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</si>
  <si>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</si>
  <si>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</si>
  <si>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</si>
  <si>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</si>
  <si>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</si>
  <si>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</si>
  <si>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</si>
  <si>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</si>
  <si>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</si>
  <si>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</si>
  <si>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</si>
  <si>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</si>
  <si>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</si>
  <si>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</si>
  <si>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</si>
  <si>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</si>
  <si>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</si>
  <si>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</si>
  <si>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</si>
  <si>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</si>
  <si>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</si>
  <si>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</si>
  <si>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</si>
  <si>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</si>
  <si>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</si>
  <si>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</si>
  <si>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</si>
  <si>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</si>
  <si>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</si>
  <si>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</si>
  <si>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</si>
  <si>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</si>
  <si>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</si>
  <si>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</si>
  <si>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</si>
  <si>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</si>
  <si>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</si>
  <si>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</si>
  <si>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</si>
  <si>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</si>
  <si>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</si>
  <si>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</si>
  <si>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</si>
  <si>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</si>
  <si>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</si>
  <si>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</si>
  <si>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</si>
  <si>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</si>
  <si>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</si>
  <si>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</si>
  <si>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</si>
  <si>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</si>
  <si>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</si>
  <si>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</si>
  <si>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</si>
  <si>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</si>
  <si>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</si>
  <si>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</si>
  <si>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</si>
  <si>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</si>
  <si>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</si>
  <si>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</si>
  <si>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</si>
  <si>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</si>
  <si>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</si>
  <si>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</si>
  <si>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</si>
  <si>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</si>
  <si>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</si>
  <si>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</si>
  <si>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</si>
  <si>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</si>
  <si>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</si>
  <si>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</si>
  <si>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</si>
  <si>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</si>
  <si>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</si>
  <si>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</si>
  <si>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</si>
  <si>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</si>
  <si>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</si>
  <si>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</si>
  <si>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</si>
  <si>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</si>
  <si>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</si>
  <si>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</si>
  <si>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</si>
  <si>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</si>
  <si>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</si>
  <si>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</si>
  <si>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</si>
  <si>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</si>
  <si>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</si>
  <si>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</si>
  <si>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</si>
  <si>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</si>
  <si>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</si>
  <si>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</si>
  <si>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</si>
  <si>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</si>
  <si>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</si>
  <si>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</si>
  <si>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</si>
  <si>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</si>
  <si>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</si>
  <si>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</si>
  <si>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</si>
  <si>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</si>
  <si>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</si>
  <si>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</si>
  <si>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</si>
  <si>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</si>
  <si>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</si>
  <si>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</si>
  <si>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</si>
  <si>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</si>
  <si>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</si>
  <si>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</si>
  <si>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</si>
  <si>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</si>
  <si>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</si>
  <si>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</si>
  <si>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</si>
  <si>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</si>
  <si>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</si>
  <si>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</si>
  <si>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</si>
  <si>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</si>
  <si>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</si>
  <si>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</si>
  <si>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</si>
  <si>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</si>
  <si>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</si>
  <si>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</si>
  <si>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</si>
  <si>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</si>
  <si>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</si>
  <si>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</si>
  <si>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</si>
  <si>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</si>
  <si>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</si>
  <si>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</si>
  <si>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</si>
  <si>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</si>
  <si>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</si>
  <si>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</si>
  <si>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</si>
  <si>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</si>
  <si>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</si>
  <si>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</si>
  <si>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</si>
  <si>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</si>
  <si>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</si>
  <si>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</si>
  <si>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</si>
  <si>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</si>
  <si>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</si>
  <si>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</si>
  <si>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</si>
  <si>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</si>
  <si>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</si>
  <si>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</si>
  <si>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</si>
  <si>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</si>
  <si>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</si>
  <si>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</si>
  <si>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</si>
  <si>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</si>
  <si>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</si>
  <si>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</si>
  <si>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</si>
  <si>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</si>
  <si>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</si>
  <si>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</si>
  <si>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</si>
  <si>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</si>
  <si>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</si>
  <si>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</si>
  <si>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</si>
  <si>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</si>
  <si>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</si>
  <si>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</si>
  <si>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</si>
  <si>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</si>
  <si>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</si>
  <si>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</si>
  <si>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</si>
  <si>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</si>
  <si>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</si>
  <si>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</si>
  <si>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</si>
  <si>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</si>
  <si>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</si>
  <si>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</si>
  <si>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</si>
  <si>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</si>
  <si>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</si>
  <si>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</si>
  <si>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</si>
  <si>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</si>
  <si>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</si>
  <si>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</si>
  <si>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</si>
  <si>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</si>
  <si>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</si>
  <si>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</si>
  <si>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</si>
  <si>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</si>
  <si>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</si>
  <si>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</si>
  <si>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</si>
  <si>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</si>
  <si>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</si>
  <si>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</si>
  <si>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</si>
  <si>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</si>
  <si>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</si>
  <si>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</si>
  <si>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</si>
  <si>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</si>
  <si>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</si>
  <si>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</si>
  <si>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</si>
  <si>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</si>
  <si>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</si>
  <si>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</si>
  <si>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</si>
  <si>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</si>
  <si>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</si>
  <si>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</si>
  <si>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</si>
  <si>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</si>
  <si>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</si>
  <si>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</si>
  <si>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</si>
  <si>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</si>
  <si>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</si>
  <si>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</si>
  <si>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</si>
  <si>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</si>
  <si>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</si>
  <si>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</si>
  <si>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</si>
  <si>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</si>
  <si>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</si>
  <si>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</si>
  <si>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</si>
  <si>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</si>
  <si>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</si>
  <si>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</si>
  <si>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</si>
  <si>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</si>
  <si>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</si>
  <si>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</si>
  <si>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</si>
  <si>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</si>
  <si>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</si>
  <si>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</si>
  <si>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</si>
  <si>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</si>
  <si>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</si>
  <si>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</si>
  <si>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</si>
  <si>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</si>
  <si>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</si>
  <si>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</si>
  <si>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</si>
  <si>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</si>
  <si>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</si>
  <si>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</si>
  <si>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</si>
  <si>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</si>
  <si>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</si>
  <si>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</si>
  <si>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</si>
  <si>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</si>
  <si>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</si>
  <si>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</si>
  <si>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</si>
  <si>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</si>
  <si>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</si>
  <si>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</si>
  <si>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</si>
  <si>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</si>
  <si>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</si>
  <si>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</si>
  <si>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</si>
  <si>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</si>
  <si>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</si>
  <si>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</si>
  <si>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</si>
  <si>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</si>
  <si>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</si>
  <si>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</si>
  <si>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</si>
  <si>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</si>
  <si>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</si>
  <si>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</si>
  <si>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</si>
  <si>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</si>
  <si>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</si>
  <si>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</si>
  <si>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</si>
  <si>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</si>
  <si>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</si>
  <si>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</si>
  <si>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</si>
  <si>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</si>
  <si>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</si>
  <si>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</si>
  <si>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</si>
  <si>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</si>
  <si>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</si>
  <si>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</si>
  <si>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</si>
  <si>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</si>
  <si>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</si>
  <si>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</si>
  <si>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</si>
  <si>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</si>
  <si>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</si>
  <si>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</si>
  <si>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</si>
  <si>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</si>
  <si>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</si>
  <si>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</si>
  <si>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</si>
  <si>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</si>
  <si>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</si>
  <si>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</si>
  <si>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</si>
  <si>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</si>
  <si>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</si>
  <si>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</si>
  <si>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</si>
  <si>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</si>
  <si>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</si>
  <si>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</si>
  <si>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</si>
  <si>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</si>
  <si>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</si>
  <si>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</si>
  <si>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</si>
  <si>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</si>
  <si>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</si>
  <si>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</si>
  <si>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</si>
  <si>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</si>
  <si>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</si>
  <si>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</si>
  <si>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</si>
  <si>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</si>
  <si>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</si>
  <si>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</si>
  <si>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</si>
  <si>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</si>
  <si>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</si>
  <si>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</si>
  <si>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</si>
  <si>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</si>
  <si>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</si>
  <si>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</si>
  <si>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</si>
  <si>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</si>
  <si>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</si>
  <si>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</si>
  <si>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</si>
  <si>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</si>
  <si>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</si>
  <si>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</si>
  <si>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</si>
  <si>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</si>
  <si>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</si>
  <si>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</si>
  <si>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</si>
  <si>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</si>
  <si>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</si>
  <si>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</si>
  <si>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</si>
  <si>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</si>
  <si>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</si>
  <si>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</si>
  <si>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</si>
  <si>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</si>
  <si>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</si>
  <si>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</si>
  <si>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</si>
  <si>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</si>
  <si>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</si>
  <si>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</si>
  <si>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</si>
  <si>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</si>
  <si>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</si>
  <si>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</si>
  <si>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</si>
  <si>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</si>
  <si>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</si>
  <si>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</si>
  <si>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</si>
  <si>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</si>
  <si>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</si>
  <si>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</si>
  <si>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</si>
  <si>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</si>
  <si>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</si>
  <si>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</si>
  <si>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</si>
  <si>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</si>
  <si>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</si>
  <si>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</si>
  <si>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</si>
  <si>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</si>
  <si>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</si>
  <si>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</si>
  <si>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</si>
  <si>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</si>
  <si>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</si>
  <si>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</si>
  <si>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</si>
  <si>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</si>
  <si>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</si>
  <si>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</si>
  <si>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</si>
  <si>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</si>
  <si>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</si>
  <si>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</si>
  <si>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</si>
  <si>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</si>
  <si>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</si>
  <si>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</si>
  <si>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</si>
  <si>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</si>
  <si>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</si>
  <si>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</si>
  <si>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</si>
  <si>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</si>
  <si>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</si>
  <si>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</si>
  <si>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</si>
  <si>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</si>
  <si>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</si>
  <si>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</si>
  <si>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</si>
  <si>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</si>
  <si>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</si>
  <si>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</si>
  <si>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</si>
  <si>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</si>
  <si>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</si>
  <si>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</si>
  <si>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</si>
  <si>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</si>
  <si>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</si>
  <si>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</si>
  <si>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</si>
  <si>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</si>
  <si>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</si>
  <si>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</si>
  <si>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</si>
  <si>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</si>
  <si>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</si>
  <si>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</si>
  <si>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</si>
  <si>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</si>
  <si>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</si>
  <si>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</si>
  <si>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</si>
  <si>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</si>
  <si>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</si>
  <si>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</si>
  <si>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</si>
  <si>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</si>
  <si>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</si>
  <si>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</si>
  <si>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</si>
  <si>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</si>
  <si>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</si>
  <si>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</si>
  <si>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</si>
  <si>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</si>
  <si>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</si>
  <si>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</si>
  <si>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</si>
  <si>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</si>
  <si>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</si>
  <si>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</si>
  <si>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</si>
  <si>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</si>
  <si>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</si>
  <si>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</si>
  <si>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</si>
  <si>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</si>
  <si>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</si>
  <si>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</si>
  <si>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</si>
  <si>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</si>
  <si>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</si>
  <si>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</si>
  <si>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</si>
  <si>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</si>
  <si>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</si>
  <si>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</si>
  <si>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</si>
  <si>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</si>
  <si>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</si>
  <si>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</si>
  <si>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</si>
  <si>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</si>
  <si>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</si>
  <si>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</si>
  <si>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</si>
  <si>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</si>
  <si>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</si>
  <si>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</si>
  <si>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</si>
  <si>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</si>
  <si>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</si>
  <si>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</si>
  <si>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</si>
  <si>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</si>
  <si>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</si>
  <si>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</si>
  <si>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</si>
  <si>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</si>
  <si>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</si>
  <si>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</si>
  <si>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</si>
  <si>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</si>
  <si>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</si>
  <si>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</si>
  <si>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</si>
  <si>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</si>
  <si>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</si>
  <si>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</si>
  <si>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</si>
  <si>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</si>
  <si>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</si>
  <si>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</si>
  <si>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</si>
  <si>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</si>
  <si>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</si>
  <si>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</si>
  <si>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</si>
  <si>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</si>
  <si>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</si>
  <si>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</si>
  <si>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</si>
  <si>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</si>
  <si>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</si>
  <si>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</si>
  <si>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</si>
  <si>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</si>
  <si>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</si>
  <si>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</si>
  <si>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</si>
  <si>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</si>
  <si>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</si>
  <si>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</si>
  <si>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</si>
  <si>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</si>
  <si>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</si>
  <si>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</si>
  <si>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</si>
  <si>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</si>
  <si>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</si>
  <si>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</si>
  <si>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</si>
  <si>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</si>
  <si>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</si>
  <si>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</si>
  <si>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</si>
  <si>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</si>
  <si>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</si>
  <si>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</si>
  <si>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</si>
  <si>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</si>
  <si>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</si>
  <si>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</si>
  <si>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</si>
  <si>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</si>
  <si>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</si>
  <si>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</si>
  <si>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</si>
  <si>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</si>
  <si>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</si>
  <si>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</si>
  <si>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</si>
  <si>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</si>
  <si>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</si>
  <si>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</si>
  <si>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</si>
  <si>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</si>
  <si>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</si>
  <si>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</si>
  <si>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</si>
  <si>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</si>
  <si>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</si>
  <si>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</si>
  <si>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</si>
  <si>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</si>
  <si>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</si>
  <si>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</si>
  <si>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</si>
  <si>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</si>
  <si>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</si>
  <si>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</si>
  <si>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</si>
  <si>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</si>
  <si>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</si>
  <si>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</si>
  <si>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</si>
  <si>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</si>
  <si>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</si>
  <si>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</si>
  <si>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</si>
  <si>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</si>
  <si>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</si>
  <si>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</si>
  <si>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</si>
  <si>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</si>
  <si>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</si>
  <si>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</si>
  <si>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</si>
  <si>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</si>
  <si>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</si>
  <si>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</si>
  <si>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</si>
  <si>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</si>
  <si>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</si>
  <si>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</si>
  <si>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</si>
  <si>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</si>
  <si>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</si>
  <si>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</si>
  <si>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</si>
  <si>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</si>
  <si>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</si>
  <si>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</si>
  <si>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</si>
  <si>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</si>
  <si>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</si>
  <si>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</si>
  <si>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</si>
  <si>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</si>
  <si>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</si>
  <si>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</si>
  <si>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</si>
  <si>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</si>
  <si>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</si>
  <si>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</si>
  <si>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</si>
  <si>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</si>
  <si>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</si>
  <si>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</si>
  <si>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</si>
  <si>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</si>
  <si>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</si>
  <si>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</si>
  <si>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</si>
  <si>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</si>
  <si>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</si>
  <si>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</si>
  <si>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</si>
  <si>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</si>
  <si>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</si>
  <si>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</si>
  <si>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</si>
  <si>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</si>
  <si>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</si>
  <si>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</si>
  <si>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</si>
  <si>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</si>
  <si>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</si>
  <si>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</si>
  <si>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</si>
  <si>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</si>
  <si>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</si>
  <si>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</si>
  <si>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</si>
  <si>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</si>
  <si>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</si>
  <si>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</si>
  <si>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</si>
  <si>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</si>
  <si>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</si>
  <si>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</si>
  <si>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</si>
  <si>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</si>
  <si>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</si>
  <si>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</si>
  <si>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</si>
  <si>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</si>
  <si>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</si>
  <si>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</si>
  <si>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</si>
  <si>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</si>
  <si>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</si>
  <si>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</si>
  <si>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</si>
  <si>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</si>
  <si>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</si>
  <si>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</si>
  <si>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</si>
  <si>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</si>
  <si>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</si>
  <si>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</si>
  <si>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</si>
  <si>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</si>
  <si>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</si>
  <si>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</si>
  <si>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</si>
  <si>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</si>
  <si>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</si>
  <si>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</si>
  <si>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</si>
  <si>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</si>
  <si>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</si>
  <si>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</si>
  <si>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</si>
  <si>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</si>
  <si>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</si>
  <si>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</si>
  <si>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</si>
  <si>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</si>
  <si>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</si>
  <si>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</si>
  <si>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</si>
  <si>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</si>
  <si>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</si>
  <si>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</si>
  <si>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</si>
  <si>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</si>
  <si>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</si>
  <si>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</si>
  <si>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</si>
  <si>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</si>
  <si>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</si>
  <si>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</si>
  <si>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</si>
  <si>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</si>
  <si>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</si>
  <si>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</si>
  <si>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</si>
  <si>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</si>
  <si>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</si>
  <si>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</si>
  <si>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</si>
  <si>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</si>
  <si>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</si>
  <si>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</si>
  <si>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</si>
  <si>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</si>
  <si>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</si>
  <si>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</si>
  <si>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</si>
  <si>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</si>
  <si>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</si>
  <si>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</si>
  <si>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</si>
  <si>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</si>
  <si>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</si>
  <si>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</si>
  <si>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</si>
  <si>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</si>
  <si>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</si>
  <si>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</si>
  <si>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</si>
  <si>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</si>
  <si>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</si>
  <si>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</si>
  <si>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</si>
  <si>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</si>
  <si>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</si>
  <si>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</si>
  <si>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</si>
  <si>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</si>
  <si>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</si>
  <si>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</si>
  <si>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</si>
  <si>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</si>
  <si>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</si>
  <si>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</si>
  <si>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</si>
  <si>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</si>
  <si>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</si>
  <si>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</si>
  <si>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</si>
  <si>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</si>
  <si>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</si>
  <si>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</si>
  <si>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</si>
  <si>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</si>
  <si>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</si>
  <si>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</si>
  <si>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</si>
  <si>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</si>
  <si>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</si>
  <si>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</si>
  <si>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</si>
  <si>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</si>
  <si>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</si>
  <si>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</si>
  <si>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</si>
  <si>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</si>
  <si>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</si>
  <si>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</si>
  <si>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</si>
  <si>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</si>
  <si>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</si>
  <si>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</si>
  <si>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</si>
  <si>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</si>
  <si>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</si>
  <si>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</si>
  <si>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</si>
  <si>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</si>
  <si>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</si>
  <si>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</si>
  <si>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</si>
  <si>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</si>
  <si>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</si>
  <si>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</si>
  <si>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</si>
  <si>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</si>
  <si>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</si>
  <si>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</si>
  <si>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</si>
  <si>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</si>
  <si>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</si>
  <si>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</si>
  <si>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</si>
  <si>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</si>
  <si>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</si>
  <si>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</si>
  <si>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</si>
  <si>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</si>
  <si>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</si>
  <si>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</si>
  <si>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</si>
  <si>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</si>
  <si>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</si>
  <si>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</si>
  <si>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</si>
  <si>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</si>
  <si>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</si>
  <si>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</si>
  <si>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</si>
  <si>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</si>
  <si>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</si>
  <si>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</si>
  <si>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</si>
  <si>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</si>
  <si>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</si>
  <si>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</si>
  <si>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</si>
  <si>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</si>
  <si>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</si>
  <si>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</si>
  <si>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</si>
  <si>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</si>
  <si>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</si>
  <si>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</si>
  <si>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</si>
  <si>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</si>
  <si>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</si>
  <si>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</si>
  <si>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</si>
  <si>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</si>
  <si>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</si>
  <si>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</si>
  <si>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</si>
  <si>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</si>
  <si>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</si>
  <si>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</si>
  <si>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</si>
  <si>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</si>
  <si>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</si>
  <si>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</si>
  <si>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</si>
  <si>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</si>
  <si>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</si>
  <si>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</si>
  <si>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</si>
  <si>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</si>
  <si>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</si>
  <si>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</si>
  <si>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</si>
  <si>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</si>
  <si>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</si>
  <si>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</si>
  <si>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</si>
  <si>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</si>
  <si>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</si>
  <si>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</si>
  <si>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</si>
  <si>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</si>
  <si>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</si>
  <si>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</si>
  <si>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</si>
  <si>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</si>
  <si>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</si>
  <si>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</si>
  <si>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</si>
  <si>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</si>
  <si>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</si>
  <si>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</si>
  <si>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</si>
  <si>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</si>
  <si>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</si>
  <si>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</si>
  <si>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</si>
  <si>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</si>
  <si>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</si>
  <si>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</si>
  <si>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</si>
  <si>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</si>
  <si>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</si>
  <si>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</si>
  <si>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</si>
  <si>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</si>
  <si>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</si>
  <si>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</si>
  <si>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</si>
  <si>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</si>
  <si>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</si>
  <si>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</si>
  <si>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</si>
  <si>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</si>
  <si>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</si>
  <si>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</si>
  <si>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</si>
  <si>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</si>
  <si>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</si>
  <si>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</si>
  <si>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</si>
  <si>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</si>
  <si>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</si>
  <si>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</si>
  <si>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</si>
  <si>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</si>
  <si>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</si>
  <si>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</si>
  <si>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</si>
  <si>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</si>
  <si>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</si>
  <si>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</si>
  <si>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</si>
  <si>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</si>
  <si>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</si>
  <si>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</si>
  <si>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</si>
  <si>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</si>
  <si>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</si>
  <si>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</si>
  <si>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</si>
  <si>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</si>
  <si>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</si>
  <si>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</si>
  <si>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</si>
  <si>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</si>
  <si>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</si>
  <si>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</si>
  <si>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</si>
  <si>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</si>
  <si>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</si>
  <si>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</si>
  <si>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</si>
  <si>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</si>
  <si>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</si>
  <si>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</si>
  <si>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</si>
  <si>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</si>
  <si>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</si>
  <si>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</si>
  <si>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</si>
  <si>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</si>
  <si>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</si>
  <si>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</si>
  <si>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</si>
  <si>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</si>
  <si>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</si>
  <si>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</si>
  <si>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</si>
  <si>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</si>
  <si>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</si>
  <si>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</si>
  <si>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</si>
  <si>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</si>
  <si>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</si>
  <si>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</si>
  <si>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</si>
  <si>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</si>
  <si>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</si>
  <si>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</si>
  <si>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</si>
  <si>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</si>
  <si>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</si>
  <si>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</si>
  <si>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</si>
  <si>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</si>
  <si>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</si>
  <si>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</si>
  <si>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</si>
  <si>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</si>
  <si>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</si>
  <si>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</si>
  <si>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</si>
  <si>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</si>
  <si>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</si>
  <si>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</si>
  <si>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</si>
  <si>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</si>
  <si>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</si>
  <si>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</si>
  <si>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</si>
  <si>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</si>
  <si>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</si>
  <si>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</si>
  <si>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</si>
  <si>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</si>
  <si>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</si>
  <si>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</si>
  <si>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</si>
  <si>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</si>
  <si>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</si>
  <si>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</si>
  <si>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</si>
  <si>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</si>
  <si>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</si>
  <si>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</si>
  <si>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</si>
  <si>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</si>
  <si>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</si>
  <si>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</si>
  <si>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</si>
  <si>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</si>
  <si>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</si>
  <si>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</si>
  <si>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</si>
  <si>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</si>
  <si>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</si>
  <si>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</si>
  <si>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</si>
  <si>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</si>
  <si>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</si>
  <si>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</si>
  <si>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</si>
  <si>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</si>
  <si>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</si>
  <si>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</si>
  <si>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</si>
  <si>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</si>
  <si>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</si>
  <si>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</si>
  <si>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</si>
  <si>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</si>
  <si>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</si>
  <si>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</si>
  <si>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</si>
  <si>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</si>
  <si>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</si>
  <si>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</si>
  <si>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</si>
  <si>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</si>
  <si>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</si>
  <si>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</si>
  <si>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</si>
  <si>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</si>
  <si>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</si>
  <si>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</si>
  <si>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</si>
  <si>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</si>
  <si>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</si>
  <si>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</si>
  <si>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</si>
  <si>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</si>
  <si>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</si>
  <si>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</si>
  <si>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</si>
  <si>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</si>
  <si>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</si>
  <si>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</si>
  <si>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</si>
  <si>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</si>
  <si>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</si>
  <si>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</si>
  <si>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</si>
  <si>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</si>
  <si>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</si>
  <si>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</si>
  <si>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</si>
  <si>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</si>
  <si>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</si>
  <si>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</si>
  <si>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</si>
  <si>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</si>
  <si>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</si>
  <si>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</si>
  <si>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</si>
  <si>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</si>
  <si>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</si>
  <si>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</si>
  <si>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</si>
  <si>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</si>
  <si>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</si>
  <si>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</si>
  <si>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</si>
  <si>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</si>
  <si>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</si>
  <si>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</si>
  <si>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</si>
  <si>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</si>
  <si>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</si>
  <si>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</si>
  <si>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</si>
  <si>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</si>
  <si>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</si>
  <si>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</si>
  <si>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</si>
  <si>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</si>
  <si>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</si>
  <si>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</si>
  <si>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</si>
  <si>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</si>
  <si>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</si>
  <si>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</si>
  <si>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</si>
  <si>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</si>
  <si>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</si>
  <si>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</si>
  <si>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</si>
  <si>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</si>
  <si>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</si>
  <si>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</si>
  <si>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</si>
  <si>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</si>
  <si>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</si>
  <si>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</si>
  <si>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</si>
  <si>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</si>
  <si>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</si>
  <si>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</si>
  <si>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</si>
  <si>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</si>
  <si>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</si>
  <si>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</si>
  <si>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</si>
  <si>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</si>
  <si>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</si>
  <si>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</si>
  <si>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</si>
  <si>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</si>
  <si>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</si>
  <si>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</si>
  <si>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</si>
  <si>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</si>
  <si>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</si>
  <si>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</si>
  <si>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</si>
  <si>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</si>
  <si>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</si>
  <si>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</si>
  <si>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</si>
  <si>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</si>
  <si>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</si>
  <si>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</si>
  <si>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</si>
  <si>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</si>
  <si>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</si>
  <si>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</si>
  <si>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</si>
  <si>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</si>
  <si>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</si>
  <si>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</si>
  <si>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</si>
  <si>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</si>
  <si>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</si>
  <si>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</si>
  <si>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</si>
  <si>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</si>
  <si>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</si>
  <si>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</si>
  <si>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</si>
  <si>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</si>
  <si>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</si>
  <si>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</si>
  <si>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</si>
  <si>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</si>
  <si>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</si>
  <si>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</si>
  <si>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</si>
  <si>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</si>
  <si>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</si>
  <si>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</si>
  <si>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</si>
  <si>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</si>
  <si>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</si>
  <si>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</si>
  <si>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</si>
  <si>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</si>
  <si>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</si>
  <si>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</si>
  <si>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</si>
  <si>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</si>
  <si>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</si>
  <si>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</si>
  <si>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</si>
  <si>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</si>
  <si>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</si>
  <si>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</si>
  <si>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</si>
  <si>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</si>
  <si>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</si>
  <si>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</si>
  <si>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</si>
  <si>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</si>
  <si>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</si>
  <si>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</si>
  <si>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</si>
  <si>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</si>
  <si>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</si>
  <si>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</si>
  <si>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</si>
  <si>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</si>
  <si>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</si>
  <si>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</si>
  <si>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</si>
  <si>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</si>
  <si>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</si>
  <si>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</si>
  <si>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</si>
  <si>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</si>
  <si>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</si>
  <si>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</si>
  <si>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</si>
  <si>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</si>
  <si>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</si>
  <si>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</si>
  <si>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</si>
  <si>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</si>
  <si>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</si>
  <si>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</si>
  <si>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</si>
  <si>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</si>
  <si>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</si>
  <si>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</si>
  <si>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</si>
  <si>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</si>
  <si>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</si>
  <si>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</si>
  <si>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</si>
  <si>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</si>
  <si>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</si>
  <si>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</si>
  <si>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</si>
  <si>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</si>
  <si>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</si>
  <si>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</si>
  <si>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</si>
  <si>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</si>
  <si>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</si>
  <si>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</si>
  <si>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</si>
  <si>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</si>
  <si>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</si>
  <si>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</si>
  <si>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</si>
  <si>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</si>
  <si>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</si>
  <si>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</si>
  <si>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</si>
  <si>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</si>
  <si>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</si>
  <si>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</si>
  <si>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</si>
  <si>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</si>
  <si>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</si>
  <si>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</si>
  <si>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</si>
  <si>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</si>
  <si>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</si>
  <si>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</si>
  <si>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</si>
  <si>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</si>
  <si>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</si>
  <si>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</si>
  <si>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</si>
  <si>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</si>
  <si>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</si>
  <si>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</si>
  <si>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</si>
  <si>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</si>
  <si>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</si>
  <si>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</si>
  <si>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</si>
  <si>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</si>
  <si>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</si>
  <si>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</si>
  <si>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</si>
  <si>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</si>
  <si>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</si>
  <si>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</si>
  <si>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</si>
  <si>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</si>
  <si>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</si>
  <si>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</si>
  <si>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</si>
  <si>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</si>
  <si>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</si>
  <si>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</si>
  <si>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</si>
  <si>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</si>
  <si>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</si>
  <si>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</si>
  <si>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</si>
  <si>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</si>
  <si>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</si>
  <si>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</si>
  <si>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</si>
  <si>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</si>
  <si>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</si>
  <si>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</si>
  <si>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</si>
  <si>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</si>
  <si>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</si>
  <si>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</si>
  <si>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</si>
  <si>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</si>
  <si>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</si>
  <si>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</si>
  <si>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</si>
  <si>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</si>
  <si>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</si>
  <si>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</si>
  <si>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</si>
  <si>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</si>
  <si>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</si>
  <si>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</si>
  <si>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</si>
  <si>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</si>
  <si>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</si>
  <si>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</si>
  <si>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</si>
  <si>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</si>
  <si>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</si>
  <si>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</si>
  <si>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</si>
  <si>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</si>
  <si>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</si>
  <si>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</si>
  <si>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</si>
  <si>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</si>
  <si>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</si>
  <si>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</si>
  <si>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</si>
  <si>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</si>
  <si>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</si>
  <si>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</si>
  <si>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</si>
  <si>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</si>
  <si>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</si>
  <si>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</si>
  <si>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</si>
  <si>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</si>
  <si>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</si>
  <si>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</si>
  <si>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</si>
  <si>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</si>
  <si>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</si>
  <si>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</si>
  <si>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</si>
  <si>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</si>
  <si>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</si>
  <si>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</si>
  <si>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</si>
  <si>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</si>
  <si>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</si>
  <si>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</si>
  <si>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</si>
  <si>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</si>
  <si>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</si>
  <si>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</si>
  <si>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</si>
  <si>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</si>
  <si>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</si>
  <si>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</si>
  <si>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</si>
  <si>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</si>
  <si>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</si>
  <si>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</si>
  <si>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</si>
  <si>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</si>
  <si>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</si>
  <si>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</si>
  <si>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</si>
  <si>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</si>
  <si>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</si>
  <si>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</si>
  <si>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</si>
  <si>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</si>
  <si>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</si>
  <si>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</si>
  <si>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</si>
  <si>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</si>
  <si>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</si>
  <si>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</si>
  <si>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</si>
  <si>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</si>
  <si>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</si>
  <si>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</si>
  <si>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</si>
  <si>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</si>
  <si>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</si>
  <si>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</si>
  <si>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</si>
  <si>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</si>
  <si>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</si>
  <si>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</si>
  <si>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</si>
  <si>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</si>
  <si>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</si>
  <si>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</si>
  <si>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</si>
  <si>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</si>
  <si>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</si>
  <si>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</si>
  <si>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</si>
  <si>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</si>
  <si>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</si>
  <si>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</si>
  <si>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</si>
  <si>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</si>
  <si>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</si>
  <si>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</si>
  <si>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</si>
  <si>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</si>
  <si>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</si>
  <si>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</si>
  <si>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</si>
  <si>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</si>
  <si>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</si>
  <si>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</si>
  <si>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</si>
  <si>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</si>
  <si>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</si>
  <si>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</si>
  <si>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</si>
  <si>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</si>
  <si>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</si>
  <si>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</si>
  <si>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</si>
  <si>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</si>
  <si>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</si>
  <si>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</si>
  <si>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</si>
  <si>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</si>
  <si>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</si>
  <si>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</si>
  <si>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</si>
  <si>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</si>
  <si>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</si>
  <si>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</si>
  <si>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</si>
  <si>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</si>
  <si>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</si>
  <si>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</si>
  <si>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</si>
  <si>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</si>
  <si>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</si>
  <si>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</si>
  <si>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</si>
  <si>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</si>
  <si>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</si>
  <si>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</si>
  <si>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</si>
  <si>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</si>
  <si>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</si>
  <si>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</si>
  <si>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</si>
  <si>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</si>
  <si>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</si>
  <si>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</si>
  <si>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</si>
  <si>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</si>
  <si>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</si>
  <si>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</si>
  <si>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</si>
  <si>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</si>
  <si>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</si>
  <si>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</si>
  <si>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</si>
  <si>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</si>
  <si>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</si>
  <si>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</si>
  <si>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</si>
  <si>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</si>
  <si>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</si>
  <si>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</si>
  <si>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</si>
  <si>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</si>
  <si>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</si>
  <si>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</si>
  <si>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</si>
  <si>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</si>
  <si>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</si>
  <si>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</si>
  <si>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</si>
  <si>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</si>
  <si>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</si>
  <si>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</si>
  <si>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</si>
  <si>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</si>
  <si>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</si>
  <si>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</si>
  <si>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</si>
  <si>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</si>
  <si>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</si>
  <si>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</si>
  <si>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</si>
  <si>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</si>
  <si>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</si>
  <si>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</si>
  <si>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</si>
  <si>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</si>
  <si>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</si>
  <si>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</si>
  <si>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</si>
  <si>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</si>
  <si>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</si>
  <si>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</si>
  <si>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</si>
  <si>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</si>
  <si>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</si>
  <si>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</si>
  <si>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</si>
  <si>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</si>
  <si>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</si>
  <si>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</si>
  <si>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</si>
  <si>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</si>
  <si>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</si>
  <si>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</si>
  <si>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</si>
  <si>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</si>
  <si>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</si>
  <si>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</si>
  <si>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</si>
  <si>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</si>
  <si>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</si>
  <si>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</si>
  <si>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</si>
  <si>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</si>
  <si>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</si>
  <si>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</si>
  <si>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</si>
  <si>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</si>
  <si>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</si>
  <si>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</si>
  <si>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</si>
  <si>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</si>
  <si>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</si>
  <si>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</si>
  <si>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</si>
  <si>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</si>
  <si>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</si>
  <si>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</si>
  <si>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</si>
  <si>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</si>
  <si>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</si>
  <si>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</si>
  <si>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</si>
  <si>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</si>
  <si>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</si>
  <si>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</si>
  <si>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</si>
  <si>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</si>
  <si>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</si>
  <si>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</si>
  <si>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</si>
  <si>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</si>
  <si>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</si>
  <si>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</si>
  <si>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</si>
  <si>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</si>
  <si>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</si>
  <si>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</si>
  <si>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</si>
  <si>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</si>
  <si>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</si>
  <si>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</si>
  <si>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</si>
  <si>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</si>
  <si>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</si>
  <si>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</si>
  <si>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</si>
  <si>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</si>
  <si>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</si>
  <si>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</si>
  <si>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</si>
  <si>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</si>
  <si>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</si>
  <si>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</si>
  <si>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</si>
  <si>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</si>
  <si>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</si>
  <si>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</si>
  <si>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</si>
  <si>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</si>
  <si>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</si>
  <si>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</si>
  <si>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</si>
  <si>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</si>
  <si>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</si>
  <si>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</si>
  <si>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</si>
  <si>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</si>
  <si>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</si>
  <si>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</si>
  <si>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</si>
  <si>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</si>
  <si>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</si>
  <si>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</si>
  <si>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</si>
  <si>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</si>
  <si>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</si>
  <si>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</si>
  <si>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</si>
  <si>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</si>
  <si>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</si>
  <si>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</si>
  <si>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</si>
  <si>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</si>
  <si>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</si>
  <si>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</si>
  <si>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</si>
  <si>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</si>
  <si>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</si>
  <si>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</si>
  <si>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</si>
  <si>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</si>
  <si>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</si>
  <si>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</si>
  <si>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</si>
  <si>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</si>
  <si>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</si>
  <si>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</si>
  <si>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</si>
  <si>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</si>
  <si>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</si>
  <si>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</si>
  <si>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</si>
  <si>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</si>
  <si>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</si>
  <si>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</si>
  <si>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</si>
  <si>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</si>
  <si>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</si>
  <si>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</si>
  <si>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</si>
  <si>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</si>
  <si>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</si>
  <si>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</si>
  <si>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</si>
  <si>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</si>
  <si>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</si>
  <si>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</si>
  <si>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</si>
  <si>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</si>
  <si>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</si>
  <si>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</si>
  <si>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</si>
  <si>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</si>
  <si>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</si>
  <si>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</si>
  <si>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</si>
  <si>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</si>
  <si>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</si>
  <si>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</si>
  <si>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</si>
  <si>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</si>
  <si>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</si>
  <si>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</si>
  <si>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</si>
  <si>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</si>
  <si>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</si>
  <si>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</si>
  <si>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</si>
  <si>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</si>
  <si>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</si>
  <si>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</si>
  <si>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</si>
  <si>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</si>
  <si>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</si>
  <si>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</si>
  <si>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</si>
  <si>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</si>
  <si>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</si>
  <si>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</si>
  <si>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</si>
  <si>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</si>
  <si>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</si>
  <si>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</si>
  <si>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</si>
  <si>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</si>
  <si>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</si>
  <si>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</si>
  <si>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</si>
  <si>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</si>
  <si>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</si>
  <si>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</si>
  <si>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</si>
  <si>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</si>
  <si>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</si>
  <si>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</si>
  <si>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</si>
  <si>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</si>
  <si>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</si>
  <si>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</si>
  <si>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</si>
  <si>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</si>
  <si>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</si>
  <si>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</si>
  <si>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</si>
  <si>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</si>
  <si>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</si>
  <si>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</si>
  <si>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</si>
  <si>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</si>
  <si>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</si>
  <si>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</si>
  <si>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</si>
  <si>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</si>
  <si>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</si>
  <si>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</si>
  <si>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</si>
  <si>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</si>
  <si>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</si>
  <si>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</si>
  <si>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</si>
  <si>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</si>
  <si>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</si>
  <si>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</si>
  <si>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</si>
  <si>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</si>
  <si>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</si>
  <si>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</si>
  <si>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</si>
  <si>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</si>
  <si>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</si>
  <si>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</si>
  <si>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</si>
  <si>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</si>
  <si>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</si>
  <si>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</si>
  <si>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</si>
  <si>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</si>
  <si>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</si>
  <si>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</si>
  <si>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</si>
  <si>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</si>
  <si>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</si>
  <si>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</si>
  <si>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</si>
  <si>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</si>
  <si>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</si>
  <si>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</si>
  <si>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</si>
  <si>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</si>
  <si>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</si>
  <si>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</si>
  <si>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</si>
  <si>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</si>
  <si>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</si>
  <si>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</si>
  <si>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</si>
  <si>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</si>
  <si>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</si>
  <si>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</si>
  <si>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</si>
  <si>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</si>
  <si>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</si>
  <si>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</si>
  <si>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</si>
  <si>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</si>
  <si>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</si>
  <si>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</si>
  <si>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</si>
  <si>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</si>
  <si>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</si>
  <si>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</si>
  <si>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</si>
  <si>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</si>
  <si>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</si>
  <si>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</si>
  <si>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</si>
  <si>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</si>
  <si>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</si>
  <si>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</si>
  <si>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</si>
  <si>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</si>
  <si>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</si>
  <si>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</si>
  <si>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</si>
  <si>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</si>
  <si>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</si>
  <si>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</si>
  <si>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</si>
  <si>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</si>
  <si>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</si>
  <si>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</si>
  <si>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</si>
  <si>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</si>
  <si>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</si>
  <si>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</si>
  <si>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</si>
  <si>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</si>
  <si>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</si>
  <si>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</si>
  <si>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</si>
  <si>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</si>
  <si>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</si>
  <si>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</si>
  <si>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</si>
  <si>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</si>
  <si>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</si>
  <si>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</si>
  <si>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</si>
  <si>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</si>
  <si>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</si>
  <si>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</si>
  <si>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</si>
  <si>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</si>
  <si>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</si>
  <si>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</si>
  <si>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</si>
  <si>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</si>
  <si>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</si>
  <si>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</si>
  <si>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</si>
  <si>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</si>
  <si>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</si>
  <si>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</si>
  <si>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</si>
  <si>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</si>
  <si>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</si>
  <si>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</si>
  <si>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</si>
  <si>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</si>
  <si>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</si>
  <si>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</si>
  <si>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</si>
  <si>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</si>
  <si>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</si>
  <si>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</si>
  <si>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</si>
  <si>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</si>
  <si>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</si>
  <si>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</si>
  <si>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</si>
  <si>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</si>
  <si>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</si>
  <si>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</si>
  <si>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</si>
  <si>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</si>
  <si>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</si>
  <si>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</si>
  <si>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</si>
  <si>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</si>
  <si>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</si>
  <si>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</si>
  <si>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</si>
  <si>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</si>
  <si>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</si>
  <si>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</si>
  <si>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</si>
  <si>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</si>
  <si>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</si>
  <si>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</si>
  <si>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</si>
  <si>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</si>
  <si>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</si>
  <si>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</si>
  <si>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</si>
  <si>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</si>
  <si>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</si>
  <si>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</si>
  <si>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</si>
  <si>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</si>
  <si>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</si>
  <si>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</si>
  <si>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</si>
  <si>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</si>
  <si>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</si>
  <si>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</si>
  <si>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</si>
  <si>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</si>
  <si>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</si>
  <si>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</si>
  <si>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</si>
  <si>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</si>
  <si>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</si>
  <si>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</si>
  <si>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</si>
  <si>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</si>
  <si>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</si>
  <si>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</si>
  <si>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</si>
  <si>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</si>
  <si>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</si>
  <si>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</si>
  <si>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</si>
  <si>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</si>
  <si>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</si>
  <si>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</si>
  <si>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</si>
  <si>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</si>
  <si>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</si>
  <si>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</si>
  <si>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</si>
  <si>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</si>
  <si>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</si>
  <si>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</si>
  <si>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</si>
  <si>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</si>
  <si>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</si>
  <si>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</si>
  <si>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</si>
  <si>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</si>
  <si>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</si>
  <si>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</si>
  <si>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</si>
  <si>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</si>
  <si>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</si>
  <si>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</si>
  <si>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</si>
  <si>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</si>
  <si>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</si>
  <si>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</si>
  <si>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</si>
  <si>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</si>
  <si>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</si>
  <si>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34999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</si>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</sst>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sz val="15"/>
      <color rgb="FF2B2B2B"/>
      <name val="Roboto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2" fillId="0" borderId="0" xfId="0" applyNumberFormat="1" applyFont="1"/>
    <xf numFmtId="164" fontId="3" fillId="0" borderId="0" xfId="0" applyNumberFormat="1" applyFont="1"/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2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34999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2C3-40C5-A0F9-ACCF8A275648}"/>
            </c:ext>
          </c:extLst>
        </c:ser>
        <c:ser>
          <c:idx val="5"/>
          <c:order val="5"/>
          <c:tx>
            <c:strRef>
              <c:f>'Outcomes Based on Goals'!$H$2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34999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2C3-40C5-A0F9-ACCF8A275648}"/>
            </c:ext>
          </c:extLst>
        </c:ser>
        <c:ser>
          <c:idx val="6"/>
          <c:order val="6"/>
          <c:tx>
            <c:strRef>
              <c:f>'Outcomes Based on Goals'!$I$2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34999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2C3-40C5-A0F9-ACCF8A275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6700767"/>
        <c:axId val="82669951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Goals'!$C$2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34999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Goals'!$C$3:$C$14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2C3-40C5-A0F9-ACCF8A27564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34999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2C3-40C5-A0F9-ACCF8A27564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34999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2C3-40C5-A0F9-ACCF8A27564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34999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Goals'!$F$3:$F$14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2C3-40C5-A0F9-ACCF8A275648}"/>
                  </c:ext>
                </c:extLst>
              </c15:ser>
            </c15:filteredLineSeries>
          </c:ext>
        </c:extLst>
      </c:lineChart>
      <c:catAx>
        <c:axId val="826700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699519"/>
        <c:crosses val="autoZero"/>
        <c:auto val="1"/>
        <c:lblAlgn val="ctr"/>
        <c:lblOffset val="100"/>
        <c:noMultiLvlLbl val="0"/>
      </c:catAx>
      <c:valAx>
        <c:axId val="826699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70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[Kickstarter_Challenge_Submission_Dinkins.xlsx]Theater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FA-46F1-92DC-9EBD162168A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FA-46F1-92DC-9EBD162168A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FA-46F1-92DC-9EBD16216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5526240"/>
        <c:axId val="1035529984"/>
      </c:lineChart>
      <c:catAx>
        <c:axId val="103552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529984"/>
        <c:crosses val="autoZero"/>
        <c:auto val="1"/>
        <c:lblAlgn val="ctr"/>
        <c:lblOffset val="100"/>
        <c:noMultiLvlLbl val="0"/>
      </c:catAx>
      <c:valAx>
        <c:axId val="103552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52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[Kickstarter_Challenge_Submission_Dinkins.xlsx]Outcomes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3F-4B07-8197-C90238EEAA10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3F-4B07-8197-C90238EEAA10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3F-4B07-8197-C90238EEAA10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3F-4B07-8197-C90238EEA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3630832"/>
        <c:axId val="1343639568"/>
      </c:lineChart>
      <c:catAx>
        <c:axId val="134363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639568"/>
        <c:crosses val="autoZero"/>
        <c:auto val="1"/>
        <c:lblAlgn val="ctr"/>
        <c:lblOffset val="100"/>
        <c:noMultiLvlLbl val="0"/>
      </c:catAx>
      <c:valAx>
        <c:axId val="134363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63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[Kickstarter_Challenge_Submission_Dinkins.xlsx]Category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026377952755904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E3-4FFC-8113-B5FEB46F7D0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E3-4FFC-8113-B5FEB46F7D0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E3-4FFC-8113-B5FEB46F7D0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E3-4FFC-8113-B5FEB46F7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70617312"/>
        <c:axId val="1270617728"/>
      </c:barChart>
      <c:catAx>
        <c:axId val="127061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617728"/>
        <c:crosses val="autoZero"/>
        <c:auto val="1"/>
        <c:lblAlgn val="ctr"/>
        <c:lblOffset val="100"/>
        <c:noMultiLvlLbl val="0"/>
      </c:catAx>
      <c:valAx>
        <c:axId val="127061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61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[Kickstarter_Challenge_Submission_Dinkins.xlsx]Subcategory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57-4A69-825D-44476AF2D01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57-4A69-825D-44476AF2D01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57-4A69-825D-44476AF2D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8840112"/>
        <c:axId val="1478841360"/>
      </c:barChart>
      <c:catAx>
        <c:axId val="147884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841360"/>
        <c:crosses val="autoZero"/>
        <c:auto val="1"/>
        <c:lblAlgn val="ctr"/>
        <c:lblOffset val="100"/>
        <c:noMultiLvlLbl val="0"/>
      </c:catAx>
      <c:valAx>
        <c:axId val="147884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84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Chart Title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Chart Title</a:t>
          </a:r>
        </a:p>
      </cx:txPr>
    </cx:title>
    <cx:plotArea>
      <cx:plotAreaRegion>
        <cx:series layoutId="boxWhisker" uniqueId="{62AAA4A9-56DD-4616-8A81-621360076F1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5BF3553-1B1F-4EB9-8A88-FF3899673B2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4B7BB55-7BA0-4991-9D5A-AEBFABAEE88C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781050</xdr:colOff>
      <xdr:row>14</xdr:row>
      <xdr:rowOff>61912</xdr:rowOff>
    </xdr:from>
    <xdr:to>
      <xdr:col>15</xdr:col>
      <xdr:colOff>542925</xdr:colOff>
      <xdr:row>32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F1EAFD-D093-6B4C-AE45-092D4BF5DD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2</xdr:row>
      <xdr:rowOff>185737</xdr:rowOff>
    </xdr:from>
    <xdr:to>
      <xdr:col>17</xdr:col>
      <xdr:colOff>447675</xdr:colOff>
      <xdr:row>23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F55E33-D62F-CA72-ED2F-C98B28ABDF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53A1E17-D1B8-47FD-A59C-F4C5E667398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01E5894-55D1-BDE2-2F9F-F291BAF9E0D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12</xdr:row>
      <xdr:rowOff>161925</xdr:rowOff>
    </xdr:from>
    <xdr:to>
      <xdr:col>18</xdr:col>
      <xdr:colOff>161925</xdr:colOff>
      <xdr:row>31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AE6D59-F513-D10F-E6C4-3886C2CA5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276224</xdr:colOff>
      <xdr:row>0</xdr:row>
      <xdr:rowOff>147636</xdr:rowOff>
    </xdr:from>
    <xdr:to>
      <xdr:col>18</xdr:col>
      <xdr:colOff>171449</xdr:colOff>
      <xdr:row>21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90B5E9-F5D6-FF2F-F1E4-73BC9B6090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600074</xdr:colOff>
      <xdr:row>13</xdr:row>
      <xdr:rowOff>33336</xdr:rowOff>
    </xdr:from>
    <xdr:to>
      <xdr:col>11</xdr:col>
      <xdr:colOff>171450</xdr:colOff>
      <xdr:row>39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DA4AF3-75F2-416B-E1FF-F159409DF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ius Dinkins" refreshedDate="44836.556670833335" createdVersion="8" refreshedVersion="8" minRefreshableVersion="3" recordCount="4114" xr:uid="{6C6F2C78-F0E2-463B-9192-E5582DDB38D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ius Dinkins" refreshedDate="44836.576962037034" createdVersion="8" refreshedVersion="8" minRefreshableVersion="3" recordCount="4114" xr:uid="{169A80A9-CA13-406D-B824-1D09F48D950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ius Dinkins" refreshedDate="44837.871586921297" createdVersion="8" refreshedVersion="8" minRefreshableVersion="3" recordCount="4114" xr:uid="{CEEF01BA-1467-409E-89AA-20640545A65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306BB-C37C-4219-A637-BF562B84853A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E15AD1-7B1E-4F65-9CD5-531E1BE9F119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779444-476C-4DD4-AD8E-5F111EDD5CF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D16A56-4105-4F9F-B8B1-46454690051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F1" zoomScale="130" zoomScaleNormal="130" workbookViewId="0">
      <selection activeCell="F1" sqref="F1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1.85546875" bestFit="1" customWidth="1"/>
    <col min="16" max="16" width="21.5703125" bestFit="1" customWidth="1"/>
    <col min="17" max="17" width="41.140625" customWidth="1"/>
    <col min="18" max="18" width="16.85546875" bestFit="1" customWidth="1"/>
    <col min="19" max="19" width="23.28515625" style="17" bestFit="1" customWidth="1"/>
    <col min="20" max="20" width="21.8554687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" t="s">
        <v>8366</v>
      </c>
      <c r="U1" s="1" t="s">
        <v>8392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1" priority="2" operator="equal">
      <formula>"successful"</formula>
    </cfRule>
    <cfRule type="cellIs" dxfId="0" priority="3" operator="equal">
      <formula>"live"</formula>
    </cfRule>
  </conditionalFormatting>
  <conditionalFormatting sqref="O1:O1048576 P1 R1:U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3E45F-C03B-40CC-A191-689FD42676E2}">
  <dimension ref="B2:I14"/>
  <sheetViews>
    <sheetView tabSelected="1" topLeftCell="A10" workbookViewId="0">
      <selection activeCell="B3" sqref="B3"/>
    </sheetView>
  </sheetViews>
  <sheetFormatPr defaultRowHeight="15" x14ac:dyDescent="0.25"/>
  <cols>
    <col min="2" max="2" width="14" bestFit="1" customWidth="1"/>
    <col min="3" max="3" width="18.140625" bestFit="1" customWidth="1"/>
    <col min="4" max="4" width="14.28515625" bestFit="1" customWidth="1"/>
    <col min="5" max="5" width="17" bestFit="1" customWidth="1"/>
    <col min="6" max="6" width="13.140625" bestFit="1" customWidth="1"/>
    <col min="7" max="7" width="20.85546875" bestFit="1" customWidth="1"/>
    <col min="8" max="8" width="17" bestFit="1" customWidth="1"/>
    <col min="9" max="9" width="19.85546875" bestFit="1" customWidth="1"/>
  </cols>
  <sheetData>
    <row r="2" spans="2:9" x14ac:dyDescent="0.25">
      <c r="B2" t="s">
        <v>8380</v>
      </c>
      <c r="C2" t="s">
        <v>8393</v>
      </c>
      <c r="D2" t="s">
        <v>8394</v>
      </c>
      <c r="E2" t="s">
        <v>8395</v>
      </c>
      <c r="F2" t="s">
        <v>8396</v>
      </c>
      <c r="G2" t="s">
        <v>8397</v>
      </c>
      <c r="H2" t="s">
        <v>8398</v>
      </c>
      <c r="I2" t="s">
        <v>8399</v>
      </c>
    </row>
    <row r="3" spans="2:9" x14ac:dyDescent="0.25">
      <c r="B3" t="s">
        <v>8400</v>
      </c>
      <c r="C3">
        <f>COUNTIFS(Kickstarter!$D:$D,"&lt;1000",Kickstarter!$F:$F,"successful",Kickstarter!$R:$R,"plays")</f>
        <v>141</v>
      </c>
      <c r="D3">
        <f>COUNTIFS(Kickstarter!$D:$D,"&lt;1000",Kickstarter!$F:$F,"failed",Kickstarter!$R:$R,"plays")</f>
        <v>45</v>
      </c>
      <c r="E3">
        <f>COUNTIFS(Kickstarter!$D:$D,"&lt;1000",Kickstarter!$F:$F,"canceled",Kickstarter!$R:$R,"plays")</f>
        <v>0</v>
      </c>
      <c r="F3">
        <f>SUM(C3:E3)</f>
        <v>186</v>
      </c>
      <c r="G3" s="22">
        <f>C3/$F3</f>
        <v>0.75806451612903225</v>
      </c>
      <c r="H3" s="22">
        <f t="shared" ref="H3:I3" si="0">D3/$F$3</f>
        <v>0.24193548387096775</v>
      </c>
      <c r="I3" s="22">
        <f t="shared" si="0"/>
        <v>0</v>
      </c>
    </row>
    <row r="4" spans="2:9" x14ac:dyDescent="0.25">
      <c r="B4" t="s">
        <v>8401</v>
      </c>
      <c r="C4">
        <f>COUNTIFS(Kickstarter!$D:$D,"&gt;=1000",Kickstarter!$F:$F,"successful",Kickstarter!$D:$D,"&lt;=4999",Kickstarter!$R:$R,"plays")</f>
        <v>388</v>
      </c>
      <c r="D4">
        <f>COUNTIFS(Kickstarter!$D:$D,"&gt;=1000",Kickstarter!$F:$F,"failed",Kickstarter!$D:$D,"&lt;=4999",Kickstarter!$R:$R,"plays")</f>
        <v>146</v>
      </c>
      <c r="E4">
        <f>COUNTIFS(Kickstarter!$D:$D,"&gt;=1000",Kickstarter!$F:$F,"canceled",Kickstarter!$D:$D,"&lt;=4999",Kickstarter!$R:$R,"plays")</f>
        <v>0</v>
      </c>
      <c r="F4">
        <f t="shared" ref="F4:F14" si="1">SUM(C4:E4)</f>
        <v>534</v>
      </c>
      <c r="G4" s="22">
        <f t="shared" ref="G4:G14" si="2">C4/$F4</f>
        <v>0.72659176029962547</v>
      </c>
      <c r="H4" s="22">
        <f t="shared" ref="H4:H14" si="3">D4/$F4</f>
        <v>0.27340823970037453</v>
      </c>
      <c r="I4" s="22">
        <f t="shared" ref="I4:I14" si="4">E4/$F4</f>
        <v>0</v>
      </c>
    </row>
    <row r="5" spans="2:9" x14ac:dyDescent="0.25">
      <c r="B5" t="s">
        <v>8402</v>
      </c>
      <c r="C5">
        <f>COUNTIFS(Kickstarter!D:D,"&gt;=5000",Kickstarter!F:F,"successful",Kickstarter!D:D,"&lt;=9999",Kickstarter!$R:$R,"plays")</f>
        <v>93</v>
      </c>
      <c r="D5">
        <f>COUNTIFS(Kickstarter!$D:$D,"&gt;=5000",Kickstarter!$F:$F,"failed",Kickstarter!$D:$D,"&lt;=9999",Kickstarter!$R:$R,"plays")</f>
        <v>76</v>
      </c>
      <c r="E5">
        <f>COUNTIFS(Kickstarter!$D:$D,"&gt;=5000",Kickstarter!$F:$F,"canceled",Kickstarter!$D:$D,"&lt;=9999",Kickstarter!$R:$R,"plays")</f>
        <v>0</v>
      </c>
      <c r="F5">
        <f t="shared" si="1"/>
        <v>169</v>
      </c>
      <c r="G5" s="22">
        <f t="shared" si="2"/>
        <v>0.55029585798816572</v>
      </c>
      <c r="H5" s="22">
        <f t="shared" si="3"/>
        <v>0.44970414201183434</v>
      </c>
      <c r="I5" s="22">
        <f t="shared" si="4"/>
        <v>0</v>
      </c>
    </row>
    <row r="6" spans="2:9" x14ac:dyDescent="0.25">
      <c r="B6" t="s">
        <v>8403</v>
      </c>
      <c r="C6">
        <f>COUNTIFS(Kickstarter!$D:$D,"&gt;=10000",Kickstarter!$F:$F,"successful",Kickstarter!$D:$D,"&lt;=14999",Kickstarter!$R:$R,"plays")</f>
        <v>39</v>
      </c>
      <c r="D6">
        <f>COUNTIFS(Kickstarter!$D:$D,"&gt;=10000",Kickstarter!$F:$F,"failed",Kickstarter!$D:$D,"&lt;=14999",Kickstarter!$R:$R,"plays")</f>
        <v>33</v>
      </c>
      <c r="E6">
        <f>COUNTIFS(Kickstarter!$D:$D,"&gt;=10000",Kickstarter!$F:$F,"canceled",Kickstarter!$D:$D,"&lt;=14999",Kickstarter!$R:$R,"plays")</f>
        <v>0</v>
      </c>
      <c r="F6">
        <f t="shared" si="1"/>
        <v>72</v>
      </c>
      <c r="G6" s="22">
        <f t="shared" si="2"/>
        <v>0.54166666666666663</v>
      </c>
      <c r="H6" s="22">
        <f t="shared" si="3"/>
        <v>0.45833333333333331</v>
      </c>
      <c r="I6" s="22">
        <f t="shared" si="4"/>
        <v>0</v>
      </c>
    </row>
    <row r="7" spans="2:9" x14ac:dyDescent="0.25">
      <c r="B7" t="s">
        <v>8404</v>
      </c>
      <c r="C7">
        <f>COUNTIFS(Kickstarter!$D:$D,"&gt;=15000",Kickstarter!$F:$F,"successful",Kickstarter!$D:$D,"&lt;=19999",Kickstarter!$R:$R,"plays")</f>
        <v>12</v>
      </c>
      <c r="D7">
        <f>COUNTIFS(Kickstarter!$D:$D,"&gt;=15000",Kickstarter!$F:$F,"failed",Kickstarter!$D:$D,"&lt;=19999",Kickstarter!$R:$R,"plays")</f>
        <v>12</v>
      </c>
      <c r="E7">
        <f>COUNTIFS(Kickstarter!$D:$D,"&gt;=15000",Kickstarter!$F:$F,"canceled",Kickstarter!$D:$D,"&lt;=19999",Kickstarter!$R:$R,"plays")</f>
        <v>0</v>
      </c>
      <c r="F7">
        <f t="shared" si="1"/>
        <v>24</v>
      </c>
      <c r="G7" s="22">
        <f t="shared" si="2"/>
        <v>0.5</v>
      </c>
      <c r="H7" s="22">
        <f t="shared" si="3"/>
        <v>0.5</v>
      </c>
      <c r="I7" s="22">
        <f t="shared" si="4"/>
        <v>0</v>
      </c>
    </row>
    <row r="8" spans="2:9" x14ac:dyDescent="0.25">
      <c r="B8" t="s">
        <v>8405</v>
      </c>
      <c r="C8">
        <f>COUNTIFS(Kickstarter!$D:$D,"&gt;=20000",Kickstarter!$F:$F,"successful",Kickstarter!$D:$D,"&lt;=24999",Kickstarter!$R:$R,"plays")</f>
        <v>9</v>
      </c>
      <c r="D8">
        <f>COUNTIFS(Kickstarter!$D:$D,"&gt;=20000",Kickstarter!$F:$F,"failed",Kickstarter!$D:$D,"&lt;=24999",Kickstarter!$R:$R,"plays")</f>
        <v>11</v>
      </c>
      <c r="E8">
        <f>COUNTIFS(Kickstarter!$D:$D,"&gt;=20000",Kickstarter!$F:$F,"canceled",Kickstarter!$D:$D,"&lt;=24999",Kickstarter!$R:$R,"plays")</f>
        <v>0</v>
      </c>
      <c r="F8">
        <f t="shared" si="1"/>
        <v>20</v>
      </c>
      <c r="G8" s="22">
        <f t="shared" si="2"/>
        <v>0.45</v>
      </c>
      <c r="H8" s="22">
        <f t="shared" si="3"/>
        <v>0.55000000000000004</v>
      </c>
      <c r="I8" s="22">
        <f t="shared" si="4"/>
        <v>0</v>
      </c>
    </row>
    <row r="9" spans="2:9" x14ac:dyDescent="0.25">
      <c r="B9" t="s">
        <v>8406</v>
      </c>
      <c r="C9">
        <f>COUNTIFS(Kickstarter!$D:$D,"&gt;=25000",Kickstarter!$F:$F,"successful",Kickstarter!$D:$D,"&lt;=29999",Kickstarter!$R:$R,"plays")</f>
        <v>1</v>
      </c>
      <c r="D9">
        <f>COUNTIFS(Kickstarter!$D:$D,"&gt;=25000",Kickstarter!$F:$F,"failed",Kickstarter!$D:$D,"&lt;=29999",Kickstarter!$R:$R,"plays")</f>
        <v>4</v>
      </c>
      <c r="E9">
        <f>COUNTIFS(Kickstarter!$D:$D,"&gt;=25000",Kickstarter!$F:$F,"canceled",Kickstarter!$D:$D,"&lt;=29999",Kickstarter!$R:$R,"plays")</f>
        <v>0</v>
      </c>
      <c r="F9">
        <f t="shared" si="1"/>
        <v>5</v>
      </c>
      <c r="G9" s="22">
        <f t="shared" si="2"/>
        <v>0.2</v>
      </c>
      <c r="H9" s="22">
        <f t="shared" si="3"/>
        <v>0.8</v>
      </c>
      <c r="I9" s="22">
        <f t="shared" si="4"/>
        <v>0</v>
      </c>
    </row>
    <row r="10" spans="2:9" x14ac:dyDescent="0.25">
      <c r="B10" t="s">
        <v>8407</v>
      </c>
      <c r="C10">
        <f>COUNTIFS(Kickstarter!$D:$D,"&gt;=30000",Kickstarter!$F:$F,"successful",Kickstarter!$D:$D,"&lt;=34999",Kickstarter!$R:$R,"plays")</f>
        <v>3</v>
      </c>
      <c r="D10">
        <f>COUNTIFS(Kickstarter!$D:$D,"&gt;=30000",Kickstarter!$F:$F,"failed",Kickstarter!$D:$D,"&lt;=34999",Kickstarter!$R:$R,"plays")</f>
        <v>8</v>
      </c>
      <c r="E10">
        <f>COUNTIFS(Kickstarter!$D:$D,"&gt;=30000",Kickstarter!$F:$F,"canceled",Kickstarter!$D:$D,"&lt;=34999",Kickstarter!$R:$R,"plays")</f>
        <v>0</v>
      </c>
      <c r="F10">
        <f t="shared" si="1"/>
        <v>11</v>
      </c>
      <c r="G10" s="22">
        <f t="shared" si="2"/>
        <v>0.27272727272727271</v>
      </c>
      <c r="H10" s="22">
        <f t="shared" si="3"/>
        <v>0.72727272727272729</v>
      </c>
      <c r="I10" s="22">
        <f t="shared" si="4"/>
        <v>0</v>
      </c>
    </row>
    <row r="11" spans="2:9" x14ac:dyDescent="0.25">
      <c r="B11" t="s">
        <v>8408</v>
      </c>
      <c r="C11">
        <f>COUNTIFS(Kickstarter!$D:$D,"&gt;=35000",Kickstarter!$F:$F,"successful",Kickstarter!$D:$D,"&lt;=39999",Kickstarter!$R:$R,"plays")</f>
        <v>4</v>
      </c>
      <c r="D11">
        <f>COUNTIFS(Kickstarter!$D:$D,"&gt;=35000",Kickstarter!$F:$F,"failed",Kickstarter!$D:$D,"&lt;=39999",Kickstarter!$R:$R,"plays")</f>
        <v>2</v>
      </c>
      <c r="E11">
        <f>COUNTIFS(Kickstarter!$D:$D,"&gt;=35000",Kickstarter!$F:$F,"canceled",Kickstarter!$D:$D,"&lt;=39999",Kickstarter!$R:$R,"plays")</f>
        <v>0</v>
      </c>
      <c r="F11">
        <f t="shared" si="1"/>
        <v>6</v>
      </c>
      <c r="G11" s="22">
        <f t="shared" si="2"/>
        <v>0.66666666666666663</v>
      </c>
      <c r="H11" s="22">
        <f t="shared" si="3"/>
        <v>0.33333333333333331</v>
      </c>
      <c r="I11" s="22">
        <f t="shared" si="4"/>
        <v>0</v>
      </c>
    </row>
    <row r="12" spans="2:9" x14ac:dyDescent="0.25">
      <c r="B12" t="s">
        <v>8409</v>
      </c>
      <c r="C12">
        <f>COUNTIFS(Kickstarter!$D:$D,"&gt;=40000",Kickstarter!$F:$F,"successful",Kickstarter!$D:$D,"&lt;=44999",Kickstarter!$R:$R,"plays")</f>
        <v>2</v>
      </c>
      <c r="D12">
        <f>COUNTIFS(Kickstarter!$D:$D,"&gt;=40000",Kickstarter!$F:$F,"failed",Kickstarter!$D:$D,"&lt;=44999",Kickstarter!$R:$R,"plays")</f>
        <v>1</v>
      </c>
      <c r="E12">
        <f>COUNTIFS(Kickstarter!$D:$D,"&gt;=40000",Kickstarter!$F:$F,"canceled",Kickstarter!$D:$D,"&lt;=44999",Kickstarter!$R:$R,"plays")</f>
        <v>0</v>
      </c>
      <c r="F12">
        <f t="shared" si="1"/>
        <v>3</v>
      </c>
      <c r="G12" s="22">
        <f t="shared" si="2"/>
        <v>0.66666666666666663</v>
      </c>
      <c r="H12" s="22">
        <f t="shared" si="3"/>
        <v>0.33333333333333331</v>
      </c>
      <c r="I12" s="22">
        <f t="shared" si="4"/>
        <v>0</v>
      </c>
    </row>
    <row r="13" spans="2:9" x14ac:dyDescent="0.25">
      <c r="B13" t="s">
        <v>8410</v>
      </c>
      <c r="C13">
        <f>COUNTIFS(Kickstarter!$D:$D,"&gt;=45000",Kickstarter!$F:$F,"successful",Kickstarter!$D:$D,"&lt;=49999",Kickstarter!$R:$R,"plays")</f>
        <v>0</v>
      </c>
      <c r="D13">
        <f>COUNTIFS(Kickstarter!$D:$D,"&gt;=45000",Kickstarter!$F:$F,"failed",Kickstarter!$D:$D,"&lt;=49999",Kickstarter!$R:$R,"plays")</f>
        <v>1</v>
      </c>
      <c r="E13">
        <f>COUNTIFS(Kickstarter!$D:$D,"&gt;=45000",Kickstarter!$F:$F,"canceled",Kickstarter!$D:$D,"&lt;=49999",Kickstarter!$R:$R,"plays")</f>
        <v>0</v>
      </c>
      <c r="F13">
        <f t="shared" si="1"/>
        <v>1</v>
      </c>
      <c r="G13" s="22">
        <f t="shared" si="2"/>
        <v>0</v>
      </c>
      <c r="H13" s="22">
        <f t="shared" si="3"/>
        <v>1</v>
      </c>
      <c r="I13" s="22">
        <f t="shared" si="4"/>
        <v>0</v>
      </c>
    </row>
    <row r="14" spans="2:9" x14ac:dyDescent="0.25">
      <c r="B14" t="s">
        <v>8411</v>
      </c>
      <c r="C14">
        <f>COUNTIFS(Kickstarter!$D:$D,"&gt;=50000",Kickstarter!$F:$F,"successful",Kickstarter!$R:$R,"plays")</f>
        <v>2</v>
      </c>
      <c r="D14">
        <f>COUNTIFS(Kickstarter!$D:$D,"&gt;=50000",Kickstarter!$F:$F,"failed",Kickstarter!$R:$R,"plays")</f>
        <v>14</v>
      </c>
      <c r="E14">
        <f>COUNTIFS(Kickstarter!$D:$D,"&gt;=50000",Kickstarter!$F:$F,"canceled",Kickstarter!$R:$R,"plays")</f>
        <v>0</v>
      </c>
      <c r="F14">
        <f t="shared" si="1"/>
        <v>16</v>
      </c>
      <c r="G14" s="22">
        <f t="shared" si="2"/>
        <v>0.125</v>
      </c>
      <c r="H14" s="22">
        <f t="shared" si="3"/>
        <v>0.875</v>
      </c>
      <c r="I14" s="22">
        <f t="shared" si="4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E7800-5660-4153-B031-7378335CA8B2}">
  <dimension ref="A1:E18"/>
  <sheetViews>
    <sheetView workbookViewId="0">
      <selection activeCell="D11" sqref="D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8392</v>
      </c>
      <c r="B2" t="s">
        <v>8363</v>
      </c>
    </row>
    <row r="4" spans="1:5" x14ac:dyDescent="0.25">
      <c r="A4" s="12" t="s">
        <v>8364</v>
      </c>
      <c r="B4" s="12" t="s">
        <v>8362</v>
      </c>
    </row>
    <row r="5" spans="1:5" x14ac:dyDescent="0.25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8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8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8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8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8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8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8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8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8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8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8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8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8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35DB5-25D9-44ED-9D75-8E8A1E4ACCA9}">
  <dimension ref="A1:C14"/>
  <sheetViews>
    <sheetView workbookViewId="0">
      <selection activeCell="T13" sqref="T13"/>
    </sheetView>
  </sheetViews>
  <sheetFormatPr defaultRowHeight="15" x14ac:dyDescent="0.25"/>
  <cols>
    <col min="1" max="1" width="25" bestFit="1" customWidth="1"/>
    <col min="2" max="2" width="12.140625" bestFit="1" customWidth="1"/>
    <col min="3" max="3" width="12.5703125" bestFit="1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8382</v>
      </c>
      <c r="B2" s="21" t="e">
        <f>AVERAGE(#REF!)</f>
        <v>#REF!</v>
      </c>
      <c r="C2" s="21" t="e">
        <f>AVERAGE(#REF!)</f>
        <v>#REF!</v>
      </c>
    </row>
    <row r="3" spans="1:3" x14ac:dyDescent="0.25">
      <c r="A3" t="s">
        <v>8383</v>
      </c>
      <c r="B3" s="21" t="e">
        <f>MEDIAN(#REF!)</f>
        <v>#REF!</v>
      </c>
      <c r="C3" s="21" t="e">
        <f>MEDIAN(#REF!)</f>
        <v>#REF!</v>
      </c>
    </row>
    <row r="4" spans="1:3" x14ac:dyDescent="0.25">
      <c r="A4" t="s">
        <v>8388</v>
      </c>
      <c r="B4" s="21" t="e">
        <f>_xlfn.STDEV.P(#REF!)</f>
        <v>#REF!</v>
      </c>
      <c r="C4" s="21" t="e">
        <f>_xlfn.STDEV.P(#REF!)</f>
        <v>#REF!</v>
      </c>
    </row>
    <row r="5" spans="1:3" x14ac:dyDescent="0.25">
      <c r="A5" t="s">
        <v>8389</v>
      </c>
      <c r="B5" s="21" t="e">
        <f>_xlfn.QUARTILE.EXC(#REF!, 3)</f>
        <v>#REF!</v>
      </c>
      <c r="C5" s="21" t="e">
        <f>_xlfn.QUARTILE.EXC(#REF!, 3)</f>
        <v>#REF!</v>
      </c>
    </row>
    <row r="6" spans="1:3" x14ac:dyDescent="0.25">
      <c r="A6" t="s">
        <v>8390</v>
      </c>
      <c r="B6" s="21" t="e">
        <f>_xlfn.QUARTILE.EXC(#REF!, 1)</f>
        <v>#REF!</v>
      </c>
      <c r="C6" s="21" t="e">
        <f>_xlfn.QUARTILE.EXC(#REF!, 1)</f>
        <v>#REF!</v>
      </c>
    </row>
    <row r="7" spans="1:3" x14ac:dyDescent="0.25">
      <c r="A7" t="s">
        <v>8391</v>
      </c>
      <c r="B7" s="21" t="e">
        <f>B5-B6</f>
        <v>#REF!</v>
      </c>
      <c r="C7" s="21" t="e">
        <f>C5-C6</f>
        <v>#REF!</v>
      </c>
    </row>
    <row r="8" spans="1:3" x14ac:dyDescent="0.25">
      <c r="B8" s="21"/>
      <c r="C8" s="21"/>
    </row>
    <row r="9" spans="1:3" x14ac:dyDescent="0.25">
      <c r="A9" t="s">
        <v>8384</v>
      </c>
      <c r="B9" s="21" t="e">
        <f>AVERAGE(#REF!)</f>
        <v>#REF!</v>
      </c>
      <c r="C9" s="21" t="e">
        <f>AVERAGE(#REF!)</f>
        <v>#REF!</v>
      </c>
    </row>
    <row r="10" spans="1:3" x14ac:dyDescent="0.25">
      <c r="A10" t="s">
        <v>8385</v>
      </c>
      <c r="B10" s="21" t="e">
        <f>MEDIAN(#REF!)</f>
        <v>#REF!</v>
      </c>
      <c r="C10" s="21" t="e">
        <f>MEDIAN(#REF!)</f>
        <v>#REF!</v>
      </c>
    </row>
    <row r="11" spans="1:3" x14ac:dyDescent="0.25">
      <c r="A11" t="s">
        <v>8388</v>
      </c>
      <c r="B11" s="21" t="e">
        <f>_xlfn.STDEV.P(#REF!)</f>
        <v>#REF!</v>
      </c>
      <c r="C11" s="21" t="e">
        <f>_xlfn.STDEV.P(#REF!)</f>
        <v>#REF!</v>
      </c>
    </row>
    <row r="12" spans="1:3" x14ac:dyDescent="0.25">
      <c r="A12" t="s">
        <v>8389</v>
      </c>
      <c r="B12" s="21" t="e">
        <f>_xlfn.QUARTILE.EXC(#REF!, 3)</f>
        <v>#REF!</v>
      </c>
      <c r="C12" s="21" t="e">
        <f>_xlfn.QUARTILE.EXC(#REF!, 3)</f>
        <v>#REF!</v>
      </c>
    </row>
    <row r="13" spans="1:3" x14ac:dyDescent="0.25">
      <c r="A13" t="s">
        <v>8390</v>
      </c>
      <c r="B13" s="21" t="e">
        <f>_xlfn.QUARTILE.EXC(#REF!, 1)</f>
        <v>#REF!</v>
      </c>
      <c r="C13" s="21" t="e">
        <f>_xlfn.QUARTILE.EXC(#REF!, 1)</f>
        <v>#REF!</v>
      </c>
    </row>
    <row r="14" spans="1:3" x14ac:dyDescent="0.25">
      <c r="A14" t="s">
        <v>8391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5640A-F4EB-4C11-91C6-333CDC5C364C}">
  <dimension ref="A1:D6"/>
  <sheetViews>
    <sheetView workbookViewId="0">
      <selection activeCell="C7" sqref="C7"/>
    </sheetView>
  </sheetViews>
  <sheetFormatPr defaultRowHeight="15" x14ac:dyDescent="0.25"/>
  <cols>
    <col min="1" max="1" width="33.5703125" bestFit="1" customWidth="1"/>
    <col min="2" max="2" width="51.140625" customWidth="1"/>
    <col min="3" max="3" width="12" style="5" bestFit="1" customWidth="1"/>
    <col min="4" max="4" width="13.7109375" style="7" bestFit="1" customWidth="1"/>
  </cols>
  <sheetData>
    <row r="1" spans="1:4" x14ac:dyDescent="0.25">
      <c r="A1" t="s">
        <v>8379</v>
      </c>
      <c r="B1" t="s">
        <v>4110</v>
      </c>
      <c r="C1" s="5" t="s">
        <v>8380</v>
      </c>
      <c r="D1" s="7" t="s">
        <v>8381</v>
      </c>
    </row>
    <row r="2" spans="1:4" ht="19.5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20">
        <f>VLOOKUP(A2, Kickstarter!B:E, 4, FALSE)</f>
        <v>2020</v>
      </c>
    </row>
    <row r="3" spans="1:4" ht="19.5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20">
        <f>VLOOKUP(A3, Kickstarter!B:E, 4, FALSE)</f>
        <v>2020</v>
      </c>
    </row>
    <row r="4" spans="1:4" ht="19.5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20">
        <f>VLOOKUP(A4, Kickstarter!B:E, 4, FALSE)</f>
        <v>2576</v>
      </c>
    </row>
    <row r="5" spans="1:4" ht="19.5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20">
        <f>VLOOKUP(A5, Kickstarter!B:E, 4, FALSE)</f>
        <v>1168</v>
      </c>
    </row>
    <row r="6" spans="1:4" ht="19.5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20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2FAD6-02EE-4AB2-A8E6-1FA6D32A364D}">
  <dimension ref="A1:F17"/>
  <sheetViews>
    <sheetView workbookViewId="0">
      <selection activeCell="E6" sqref="E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3" spans="1:6" x14ac:dyDescent="0.25">
      <c r="A3" s="12" t="s">
        <v>8364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8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5">
      <c r="A6" s="18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5">
      <c r="A7" s="18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5">
      <c r="A8" s="18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5">
      <c r="A9" s="18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5">
      <c r="A10" s="18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5">
      <c r="A11" s="18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5">
      <c r="A12" s="18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5">
      <c r="A13" s="18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5">
      <c r="A14" s="18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5">
      <c r="A15" s="18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5">
      <c r="A16" s="18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5">
      <c r="A17" s="18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9496D-EF9C-4F36-91E9-E3E51CFE804C}">
  <dimension ref="A1:F6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8364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480E7-C2F6-4071-B31D-E840A0ABCB74}">
  <dimension ref="A1:E7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8363</v>
      </c>
    </row>
    <row r="4" spans="1:5" x14ac:dyDescent="0.25">
      <c r="A4" s="12" t="s">
        <v>8364</v>
      </c>
      <c r="B4" s="12" t="s">
        <v>8362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Outcomes Based on Goals</vt:lpstr>
      <vt:lpstr>Theater Outcomes by Launch Date</vt:lpstr>
      <vt:lpstr>Descriptive Statistics</vt:lpstr>
      <vt:lpstr>Edinburgh ResearchNam</vt:lpstr>
      <vt:lpstr>Outcomes Based on Launch Date</vt:lpstr>
      <vt:lpstr>Category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Darius Dinkins</cp:lastModifiedBy>
  <dcterms:created xsi:type="dcterms:W3CDTF">2017-04-20T15:17:24Z</dcterms:created>
  <dcterms:modified xsi:type="dcterms:W3CDTF">2022-10-13T02:03:18Z</dcterms:modified>
</cp:coreProperties>
</file>