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hul\Desktop\Analytics\Expense Sheet\"/>
    </mc:Choice>
  </mc:AlternateContent>
  <bookViews>
    <workbookView xWindow="9915" yWindow="-60" windowWidth="8520" windowHeight="7110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Sep" sheetId="8" r:id="rId6"/>
    <sheet name="Oct" sheetId="9" r:id="rId7"/>
    <sheet name="Nov" sheetId="10" r:id="rId8"/>
    <sheet name="Dec" sheetId="11" r:id="rId9"/>
  </sheets>
  <calcPr calcId="162913"/>
  <customWorkbookViews>
    <customWorkbookView name="Rahul S - Personal View" guid="{034CB6A1-024A-4E1B-8E88-EEF2FEA56B01}" mergeInterval="0" personalView="1" maximized="1" xWindow="1" yWindow="1" windowWidth="1280" windowHeight="499" activeSheetId="5"/>
  </customWorkbookViews>
</workbook>
</file>

<file path=xl/calcChain.xml><?xml version="1.0" encoding="utf-8"?>
<calcChain xmlns="http://schemas.openxmlformats.org/spreadsheetml/2006/main">
  <c r="AF7" i="11" l="1"/>
  <c r="AE10" i="11"/>
  <c r="AE2" i="11"/>
  <c r="AE9" i="11"/>
  <c r="AE14" i="11" s="1"/>
  <c r="AD5" i="11"/>
  <c r="AD3" i="11"/>
  <c r="AD10" i="11"/>
  <c r="AC3" i="11"/>
  <c r="AC2" i="11"/>
  <c r="AC10" i="11"/>
  <c r="AB4" i="11"/>
  <c r="AB14" i="11" s="1"/>
  <c r="AA12" i="11"/>
  <c r="AA14" i="11" s="1"/>
  <c r="AA9" i="11"/>
  <c r="Z4" i="11"/>
  <c r="Y2" i="11"/>
  <c r="Y14" i="11" s="1"/>
  <c r="X3" i="11"/>
  <c r="X14" i="11" s="1"/>
  <c r="W2" i="11"/>
  <c r="W4" i="11"/>
  <c r="W9" i="11"/>
  <c r="V11" i="11"/>
  <c r="V12" i="11"/>
  <c r="V3" i="11"/>
  <c r="V6" i="11"/>
  <c r="V10" i="11"/>
  <c r="V14" i="11" s="1"/>
  <c r="U7" i="11"/>
  <c r="U4" i="11"/>
  <c r="U6" i="11"/>
  <c r="U10" i="11"/>
  <c r="T7" i="11"/>
  <c r="T6" i="11"/>
  <c r="T4" i="11"/>
  <c r="S6" i="11"/>
  <c r="S14" i="11" s="1"/>
  <c r="S3" i="11"/>
  <c r="R10" i="11"/>
  <c r="R7" i="11"/>
  <c r="R6" i="11"/>
  <c r="R14" i="11" s="1"/>
  <c r="Q7" i="11"/>
  <c r="P9" i="11"/>
  <c r="P2" i="11"/>
  <c r="P10" i="11"/>
  <c r="P14" i="11" s="1"/>
  <c r="O5" i="11"/>
  <c r="O9" i="11"/>
  <c r="O4" i="11"/>
  <c r="O7" i="11"/>
  <c r="O14" i="11" s="1"/>
  <c r="O10" i="11"/>
  <c r="O6" i="11"/>
  <c r="N7" i="11"/>
  <c r="N4" i="11"/>
  <c r="M8" i="11"/>
  <c r="M4" i="11"/>
  <c r="M10" i="11"/>
  <c r="M2" i="11"/>
  <c r="L6" i="11"/>
  <c r="L9" i="11"/>
  <c r="L2" i="11"/>
  <c r="L8" i="11"/>
  <c r="K10" i="11"/>
  <c r="K7" i="11"/>
  <c r="K6" i="11"/>
  <c r="K4" i="11"/>
  <c r="K14" i="11" s="1"/>
  <c r="J3" i="11"/>
  <c r="J10" i="11"/>
  <c r="I8" i="11"/>
  <c r="I11" i="11"/>
  <c r="AG11" i="11" s="1"/>
  <c r="I7" i="11"/>
  <c r="I6" i="11"/>
  <c r="H3" i="11"/>
  <c r="H7" i="11"/>
  <c r="H14" i="11" s="1"/>
  <c r="J11" i="10"/>
  <c r="H5" i="11"/>
  <c r="G13" i="11"/>
  <c r="G9" i="11"/>
  <c r="G14" i="11" s="1"/>
  <c r="G10" i="11"/>
  <c r="G4" i="11"/>
  <c r="G5" i="11"/>
  <c r="F6" i="11"/>
  <c r="F14" i="11" s="1"/>
  <c r="F9" i="11"/>
  <c r="F4" i="11"/>
  <c r="F12" i="11"/>
  <c r="AG12" i="11" s="1"/>
  <c r="E5" i="11"/>
  <c r="AG5" i="11" s="1"/>
  <c r="E3" i="11"/>
  <c r="E6" i="11"/>
  <c r="E10" i="11"/>
  <c r="D4" i="11"/>
  <c r="D14" i="11" s="1"/>
  <c r="D3" i="11"/>
  <c r="C7" i="11"/>
  <c r="C10" i="11"/>
  <c r="C6" i="11"/>
  <c r="B2" i="11"/>
  <c r="B4" i="11"/>
  <c r="B5" i="11"/>
  <c r="B10" i="11"/>
  <c r="B14" i="11" s="1"/>
  <c r="Z14" i="11"/>
  <c r="AC14" i="11"/>
  <c r="AD14" i="11"/>
  <c r="AF14" i="11"/>
  <c r="AH14" i="11"/>
  <c r="AG13" i="11"/>
  <c r="AG9" i="11"/>
  <c r="AG6" i="11"/>
  <c r="Q14" i="11"/>
  <c r="J14" i="11"/>
  <c r="W14" i="11"/>
  <c r="U14" i="11"/>
  <c r="T14" i="11"/>
  <c r="I14" i="11"/>
  <c r="C1" i="11"/>
  <c r="D1" i="11" s="1"/>
  <c r="E1" i="11" s="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Y7" i="10"/>
  <c r="Y6" i="10"/>
  <c r="X11" i="10"/>
  <c r="Y4" i="10"/>
  <c r="Y14" i="10" s="1"/>
  <c r="X7" i="10"/>
  <c r="Z7" i="10" s="1"/>
  <c r="X8" i="10"/>
  <c r="X5" i="10"/>
  <c r="W4" i="10"/>
  <c r="W10" i="10"/>
  <c r="W14" i="10" s="1"/>
  <c r="W2" i="10"/>
  <c r="V4" i="10"/>
  <c r="V14" i="10" s="1"/>
  <c r="U2" i="10"/>
  <c r="U3" i="10"/>
  <c r="T6" i="10"/>
  <c r="T3" i="10"/>
  <c r="T2" i="10"/>
  <c r="T8" i="10"/>
  <c r="Z8" i="10" s="1"/>
  <c r="S6" i="10"/>
  <c r="S2" i="10"/>
  <c r="S10" i="10"/>
  <c r="S14" i="10" s="1"/>
  <c r="R4" i="10"/>
  <c r="R14" i="10" s="1"/>
  <c r="R10" i="10"/>
  <c r="Q4" i="10"/>
  <c r="Q9" i="10"/>
  <c r="Q5" i="10"/>
  <c r="P6" i="10"/>
  <c r="P7" i="10"/>
  <c r="I7" i="10"/>
  <c r="P10" i="10"/>
  <c r="P9" i="10"/>
  <c r="O9" i="10"/>
  <c r="O7" i="10"/>
  <c r="O6" i="10"/>
  <c r="O2" i="10"/>
  <c r="N6" i="10"/>
  <c r="N9" i="10"/>
  <c r="M9" i="10"/>
  <c r="M10" i="10"/>
  <c r="M7" i="10"/>
  <c r="M6" i="10"/>
  <c r="L13" i="10"/>
  <c r="L14" i="10" s="1"/>
  <c r="K7" i="10"/>
  <c r="K6" i="10"/>
  <c r="K10" i="10"/>
  <c r="K4" i="10"/>
  <c r="K14" i="10" s="1"/>
  <c r="K5" i="10"/>
  <c r="J10" i="10"/>
  <c r="J7" i="10"/>
  <c r="J6" i="10"/>
  <c r="J14" i="10" s="1"/>
  <c r="J4" i="10"/>
  <c r="I6" i="10"/>
  <c r="I11" i="10"/>
  <c r="I12" i="10"/>
  <c r="I2" i="10"/>
  <c r="H2" i="10"/>
  <c r="H9" i="10"/>
  <c r="H6" i="10"/>
  <c r="G2" i="10"/>
  <c r="G7" i="10"/>
  <c r="G3" i="10"/>
  <c r="G6" i="10"/>
  <c r="G10" i="10"/>
  <c r="F10" i="10"/>
  <c r="F7" i="10"/>
  <c r="F9" i="10"/>
  <c r="F14" i="10" s="1"/>
  <c r="E6" i="10"/>
  <c r="E9" i="10"/>
  <c r="D10" i="10"/>
  <c r="D11" i="10"/>
  <c r="Z11" i="10" s="1"/>
  <c r="D7" i="10"/>
  <c r="C8" i="10"/>
  <c r="C4" i="10"/>
  <c r="Z4" i="10" s="1"/>
  <c r="C2" i="10"/>
  <c r="C14" i="10" s="1"/>
  <c r="B4" i="10"/>
  <c r="E14" i="10"/>
  <c r="I14" i="10"/>
  <c r="N14" i="10"/>
  <c r="X14" i="10"/>
  <c r="AA14" i="10"/>
  <c r="Z12" i="10"/>
  <c r="Z5" i="10"/>
  <c r="B14" i="10"/>
  <c r="C1" i="10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H10" i="9"/>
  <c r="H3" i="9"/>
  <c r="G9" i="9"/>
  <c r="G10" i="9"/>
  <c r="G14" i="9" s="1"/>
  <c r="G2" i="9"/>
  <c r="G3" i="9"/>
  <c r="F6" i="9"/>
  <c r="F10" i="9"/>
  <c r="F14" i="9" s="1"/>
  <c r="F7" i="9"/>
  <c r="E6" i="9"/>
  <c r="E3" i="9"/>
  <c r="D7" i="9"/>
  <c r="D14" i="9" s="1"/>
  <c r="D6" i="9"/>
  <c r="D3" i="9"/>
  <c r="D2" i="9"/>
  <c r="C6" i="9"/>
  <c r="C3" i="9"/>
  <c r="B9" i="9"/>
  <c r="B5" i="9"/>
  <c r="B7" i="9"/>
  <c r="L7" i="9" s="1"/>
  <c r="B3" i="9"/>
  <c r="B6" i="9"/>
  <c r="B10" i="9"/>
  <c r="L10" i="9" s="1"/>
  <c r="L8" i="9"/>
  <c r="M14" i="9"/>
  <c r="L13" i="9"/>
  <c r="L12" i="9"/>
  <c r="L11" i="9"/>
  <c r="L5" i="9"/>
  <c r="K14" i="9"/>
  <c r="C14" i="9"/>
  <c r="H14" i="9"/>
  <c r="I14" i="9"/>
  <c r="C1" i="9"/>
  <c r="D1" i="9" s="1"/>
  <c r="E1" i="9" s="1"/>
  <c r="F1" i="9" s="1"/>
  <c r="G1" i="9" s="1"/>
  <c r="H1" i="9" s="1"/>
  <c r="I1" i="9" s="1"/>
  <c r="J1" i="9" s="1"/>
  <c r="K1" i="9" s="1"/>
  <c r="Q9" i="8"/>
  <c r="P3" i="8"/>
  <c r="Q4" i="8"/>
  <c r="Q6" i="8"/>
  <c r="Q7" i="8"/>
  <c r="P7" i="8"/>
  <c r="P10" i="8"/>
  <c r="P11" i="8"/>
  <c r="P9" i="8"/>
  <c r="P4" i="8"/>
  <c r="P6" i="8"/>
  <c r="O11" i="8"/>
  <c r="N7" i="8"/>
  <c r="N9" i="8"/>
  <c r="N11" i="8"/>
  <c r="M8" i="8"/>
  <c r="M4" i="8"/>
  <c r="M9" i="8"/>
  <c r="M5" i="8"/>
  <c r="L9" i="8"/>
  <c r="L7" i="8"/>
  <c r="K5" i="8"/>
  <c r="I2" i="8"/>
  <c r="J9" i="8"/>
  <c r="J8" i="8"/>
  <c r="J7" i="8"/>
  <c r="I5" i="8"/>
  <c r="I9" i="8"/>
  <c r="I4" i="8"/>
  <c r="I3" i="8"/>
  <c r="H3" i="8"/>
  <c r="H4" i="8"/>
  <c r="H10" i="8"/>
  <c r="G7" i="8"/>
  <c r="G4" i="8"/>
  <c r="F6" i="8"/>
  <c r="F4" i="8"/>
  <c r="F11" i="8"/>
  <c r="E6" i="8"/>
  <c r="E5" i="8"/>
  <c r="AD10" i="8"/>
  <c r="D6" i="8"/>
  <c r="D4" i="8"/>
  <c r="C4" i="8"/>
  <c r="C7" i="8"/>
  <c r="B14" i="9" l="1"/>
  <c r="Z13" i="10"/>
  <c r="N14" i="11"/>
  <c r="AG2" i="11"/>
  <c r="L9" i="9"/>
  <c r="AG3" i="11"/>
  <c r="D14" i="10"/>
  <c r="M14" i="11"/>
  <c r="AG10" i="11"/>
  <c r="C14" i="11"/>
  <c r="E14" i="11"/>
  <c r="AG4" i="11"/>
  <c r="AG7" i="11"/>
  <c r="U14" i="10"/>
  <c r="T14" i="10"/>
  <c r="Z10" i="10"/>
  <c r="Q14" i="10"/>
  <c r="P14" i="10"/>
  <c r="Z9" i="10"/>
  <c r="O14" i="10"/>
  <c r="M14" i="10"/>
  <c r="H14" i="10"/>
  <c r="G14" i="10"/>
  <c r="Z6" i="10"/>
  <c r="Z2" i="10"/>
  <c r="Z3" i="10"/>
  <c r="E14" i="9"/>
  <c r="L6" i="9"/>
  <c r="L2" i="9"/>
  <c r="J14" i="9"/>
  <c r="L4" i="9"/>
  <c r="L3" i="9"/>
  <c r="B7" i="8"/>
  <c r="B2" i="8"/>
  <c r="B6" i="8"/>
  <c r="B10" i="8"/>
  <c r="D19" i="8"/>
  <c r="AD12" i="8"/>
  <c r="AD11" i="8"/>
  <c r="AD2" i="8"/>
  <c r="AD13" i="8" s="1"/>
  <c r="AB13" i="8"/>
  <c r="AA13" i="8"/>
  <c r="Z13" i="8"/>
  <c r="Y13" i="8"/>
  <c r="X13" i="8"/>
  <c r="W13" i="8"/>
  <c r="V13" i="8"/>
  <c r="AC12" i="8"/>
  <c r="AC11" i="8"/>
  <c r="AC9" i="8"/>
  <c r="H13" i="8"/>
  <c r="R13" i="8"/>
  <c r="N13" i="8"/>
  <c r="S13" i="8"/>
  <c r="Q13" i="8"/>
  <c r="P13" i="8"/>
  <c r="L13" i="8"/>
  <c r="G13" i="8"/>
  <c r="D13" i="8"/>
  <c r="T13" i="8"/>
  <c r="O13" i="8"/>
  <c r="M13" i="8"/>
  <c r="K13" i="8"/>
  <c r="J13" i="8"/>
  <c r="I13" i="8"/>
  <c r="E13" i="8"/>
  <c r="C13" i="8"/>
  <c r="F13" i="8"/>
  <c r="U13" i="8"/>
  <c r="C1" i="8"/>
  <c r="D1" i="8" s="1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U4" i="5"/>
  <c r="U6" i="5"/>
  <c r="U9" i="5"/>
  <c r="U2" i="5"/>
  <c r="T11" i="5"/>
  <c r="T4" i="5"/>
  <c r="T9" i="5"/>
  <c r="S9" i="5"/>
  <c r="S5" i="5"/>
  <c r="S6" i="5"/>
  <c r="S13" i="5" s="1"/>
  <c r="S7" i="5"/>
  <c r="R8" i="5"/>
  <c r="R9" i="5"/>
  <c r="R7" i="5"/>
  <c r="R13" i="5" s="1"/>
  <c r="R6" i="5"/>
  <c r="R11" i="5"/>
  <c r="Q5" i="5"/>
  <c r="P5" i="5"/>
  <c r="P13" i="5" s="1"/>
  <c r="P6" i="5"/>
  <c r="P9" i="5"/>
  <c r="O4" i="5"/>
  <c r="N9" i="5"/>
  <c r="N13" i="5" s="1"/>
  <c r="N6" i="5"/>
  <c r="AH6" i="5"/>
  <c r="M9" i="5"/>
  <c r="M4" i="5"/>
  <c r="M13" i="5" s="1"/>
  <c r="L10" i="5"/>
  <c r="L5" i="5"/>
  <c r="L13" i="5" s="1"/>
  <c r="L8" i="5"/>
  <c r="L9" i="5"/>
  <c r="L6" i="5"/>
  <c r="L7" i="5"/>
  <c r="K4" i="5"/>
  <c r="K11" i="5"/>
  <c r="K10" i="5"/>
  <c r="K9" i="5"/>
  <c r="J9" i="5"/>
  <c r="J13" i="5" s="1"/>
  <c r="J4" i="5"/>
  <c r="I8" i="5"/>
  <c r="I7" i="5"/>
  <c r="I10" i="5"/>
  <c r="I4" i="5"/>
  <c r="I9" i="5"/>
  <c r="H11" i="5"/>
  <c r="H13" i="5" s="1"/>
  <c r="H7" i="5"/>
  <c r="H9" i="5"/>
  <c r="F3" i="5"/>
  <c r="G10" i="5"/>
  <c r="G5" i="5"/>
  <c r="G9" i="5"/>
  <c r="F7" i="5"/>
  <c r="F10" i="5"/>
  <c r="F11" i="5"/>
  <c r="F9" i="5"/>
  <c r="E10" i="5"/>
  <c r="E4" i="5"/>
  <c r="E7" i="5"/>
  <c r="D7" i="5"/>
  <c r="D5" i="5"/>
  <c r="D6" i="5"/>
  <c r="AG6" i="5" s="1"/>
  <c r="D9" i="5"/>
  <c r="C4" i="5"/>
  <c r="C9" i="5"/>
  <c r="B4" i="5"/>
  <c r="B11" i="5"/>
  <c r="B9" i="5"/>
  <c r="AH10" i="5"/>
  <c r="AF11" i="4"/>
  <c r="D20" i="5"/>
  <c r="AG12" i="5"/>
  <c r="AG10" i="5"/>
  <c r="AE13" i="5"/>
  <c r="AB13" i="5"/>
  <c r="C13" i="5"/>
  <c r="AG8" i="5"/>
  <c r="O13" i="5"/>
  <c r="V13" i="5"/>
  <c r="U13" i="5"/>
  <c r="AC13" i="5"/>
  <c r="Y13" i="5"/>
  <c r="W13" i="5"/>
  <c r="AF13" i="5"/>
  <c r="AA13" i="5"/>
  <c r="T13" i="5"/>
  <c r="Q13" i="5"/>
  <c r="F13" i="5"/>
  <c r="Z13" i="5"/>
  <c r="X13" i="5"/>
  <c r="AG3" i="5"/>
  <c r="AH13" i="5"/>
  <c r="AD13" i="5"/>
  <c r="K13" i="5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F10" i="4"/>
  <c r="AF4" i="4"/>
  <c r="AE10" i="4"/>
  <c r="AE14" i="4" s="1"/>
  <c r="AE12" i="4"/>
  <c r="AD8" i="4"/>
  <c r="AD7" i="4"/>
  <c r="AD2" i="4"/>
  <c r="AD14" i="4" s="1"/>
  <c r="AC5" i="4"/>
  <c r="AC14" i="4" s="1"/>
  <c r="AC8" i="4"/>
  <c r="AB12" i="4"/>
  <c r="AB10" i="4"/>
  <c r="AA4" i="4"/>
  <c r="AA10" i="4"/>
  <c r="Z3" i="4"/>
  <c r="Z8" i="4"/>
  <c r="Z4" i="4"/>
  <c r="Z14" i="4" s="1"/>
  <c r="Z10" i="4"/>
  <c r="Y5" i="4"/>
  <c r="Y14" i="4"/>
  <c r="Y7" i="4"/>
  <c r="Y10" i="4"/>
  <c r="X3" i="4"/>
  <c r="X8" i="4"/>
  <c r="X14" i="4" s="1"/>
  <c r="X10" i="4"/>
  <c r="X12" i="4"/>
  <c r="W10" i="4"/>
  <c r="W5" i="4"/>
  <c r="V8" i="4"/>
  <c r="V10" i="4"/>
  <c r="V7" i="4"/>
  <c r="U11" i="4"/>
  <c r="AG11" i="4" s="1"/>
  <c r="U7" i="4"/>
  <c r="U14" i="4" s="1"/>
  <c r="U10" i="4"/>
  <c r="U12" i="4"/>
  <c r="T4" i="4"/>
  <c r="T8" i="4"/>
  <c r="T10" i="4"/>
  <c r="S12" i="4"/>
  <c r="S10" i="4"/>
  <c r="S14" i="4" s="1"/>
  <c r="AH2" i="4"/>
  <c r="AH3" i="4"/>
  <c r="R3" i="4"/>
  <c r="R2" i="4"/>
  <c r="R14" i="4" s="1"/>
  <c r="R4" i="4"/>
  <c r="R10" i="4"/>
  <c r="Q4" i="4"/>
  <c r="Q10" i="4"/>
  <c r="Q14" i="4" s="1"/>
  <c r="P4" i="4"/>
  <c r="P10" i="4"/>
  <c r="O10" i="4"/>
  <c r="N9" i="4"/>
  <c r="AG9" i="4" s="1"/>
  <c r="O8" i="4"/>
  <c r="N11" i="4"/>
  <c r="N4" i="4"/>
  <c r="N10" i="4"/>
  <c r="N5" i="4"/>
  <c r="N14" i="4" s="1"/>
  <c r="M4" i="4"/>
  <c r="M10" i="4"/>
  <c r="L10" i="4"/>
  <c r="L7" i="4"/>
  <c r="AG7" i="4" s="1"/>
  <c r="L4" i="4"/>
  <c r="L11" i="4"/>
  <c r="K4" i="4"/>
  <c r="K2" i="4"/>
  <c r="J4" i="4"/>
  <c r="J5" i="4"/>
  <c r="J8" i="4"/>
  <c r="I4" i="4"/>
  <c r="I14" i="4" s="1"/>
  <c r="H5" i="4"/>
  <c r="F11" i="4"/>
  <c r="D18" i="4"/>
  <c r="A17" i="4"/>
  <c r="H7" i="4"/>
  <c r="H8" i="4"/>
  <c r="AG8" i="4" s="1"/>
  <c r="H10" i="4"/>
  <c r="G10" i="4"/>
  <c r="G12" i="4"/>
  <c r="G4" i="4"/>
  <c r="G14" i="4" s="1"/>
  <c r="F4" i="4"/>
  <c r="F14" i="4" s="1"/>
  <c r="E3" i="4"/>
  <c r="E5" i="4"/>
  <c r="E4" i="4"/>
  <c r="E14" i="4" s="1"/>
  <c r="E10" i="4"/>
  <c r="D8" i="4"/>
  <c r="D4" i="4"/>
  <c r="D12" i="4"/>
  <c r="AG12" i="4" s="1"/>
  <c r="D10" i="4"/>
  <c r="D14" i="4" s="1"/>
  <c r="C10" i="4"/>
  <c r="C12" i="4"/>
  <c r="B10" i="4"/>
  <c r="AF10" i="3"/>
  <c r="AF8" i="3"/>
  <c r="B11" i="4"/>
  <c r="B2" i="4"/>
  <c r="D21" i="4"/>
  <c r="AH13" i="4"/>
  <c r="AG13" i="4"/>
  <c r="AH12" i="4"/>
  <c r="AH10" i="4"/>
  <c r="AH9" i="4"/>
  <c r="AH8" i="4"/>
  <c r="K14" i="4"/>
  <c r="AH6" i="4"/>
  <c r="AG6" i="4"/>
  <c r="AH5" i="4"/>
  <c r="AH4" i="4"/>
  <c r="AH14" i="4" s="1"/>
  <c r="AB14" i="4"/>
  <c r="AA14" i="4"/>
  <c r="W14" i="4"/>
  <c r="V14" i="4"/>
  <c r="O14" i="4"/>
  <c r="C14" i="4"/>
  <c r="P14" i="4"/>
  <c r="AG2" i="4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E12" i="3"/>
  <c r="AD12" i="3"/>
  <c r="AE4" i="3"/>
  <c r="AD4" i="3"/>
  <c r="AD14" i="3" s="1"/>
  <c r="AC4" i="3"/>
  <c r="AB4" i="3"/>
  <c r="AA4" i="3"/>
  <c r="AA14" i="3" s="1"/>
  <c r="Z4" i="3"/>
  <c r="Y10" i="3"/>
  <c r="Y8" i="3"/>
  <c r="X10" i="3"/>
  <c r="X14" i="3" s="1"/>
  <c r="X12" i="3"/>
  <c r="X5" i="3"/>
  <c r="X4" i="3"/>
  <c r="W10" i="3"/>
  <c r="W4" i="3"/>
  <c r="V4" i="3"/>
  <c r="V12" i="3"/>
  <c r="V10" i="3"/>
  <c r="V14" i="3" s="1"/>
  <c r="U8" i="3"/>
  <c r="U14" i="3" s="1"/>
  <c r="U10" i="3"/>
  <c r="T4" i="3"/>
  <c r="T12" i="3"/>
  <c r="T5" i="3"/>
  <c r="T14" i="3" s="1"/>
  <c r="S9" i="3"/>
  <c r="S8" i="3"/>
  <c r="S5" i="3"/>
  <c r="S14" i="3" s="1"/>
  <c r="R4" i="3"/>
  <c r="R10" i="3"/>
  <c r="R5" i="3"/>
  <c r="R8" i="3"/>
  <c r="Q4" i="3"/>
  <c r="Q14" i="3" s="1"/>
  <c r="Q5" i="3"/>
  <c r="P12" i="3"/>
  <c r="P4" i="3"/>
  <c r="P3" i="3"/>
  <c r="O11" i="3"/>
  <c r="O5" i="3"/>
  <c r="O12" i="3"/>
  <c r="O4" i="3"/>
  <c r="N13" i="3"/>
  <c r="N5" i="3"/>
  <c r="L4" i="3"/>
  <c r="L14" i="3" s="1"/>
  <c r="M4" i="3"/>
  <c r="M8" i="3"/>
  <c r="M10" i="3"/>
  <c r="M12" i="3"/>
  <c r="M14" i="3" s="1"/>
  <c r="M7" i="3"/>
  <c r="M5" i="3"/>
  <c r="L3" i="3"/>
  <c r="L6" i="3"/>
  <c r="AG6" i="3" s="1"/>
  <c r="K10" i="3"/>
  <c r="K14" i="3" s="1"/>
  <c r="K8" i="3"/>
  <c r="J9" i="3"/>
  <c r="AG9" i="3" s="1"/>
  <c r="J8" i="3"/>
  <c r="J10" i="3"/>
  <c r="I13" i="3"/>
  <c r="I4" i="3"/>
  <c r="H4" i="3"/>
  <c r="H14" i="3" s="1"/>
  <c r="H12" i="3"/>
  <c r="G4" i="3"/>
  <c r="F8" i="3"/>
  <c r="F7" i="3"/>
  <c r="F10" i="3"/>
  <c r="AG10" i="3" s="1"/>
  <c r="F11" i="3"/>
  <c r="F5" i="3"/>
  <c r="E4" i="3"/>
  <c r="E14" i="3" s="1"/>
  <c r="D3" i="3"/>
  <c r="D5" i="3"/>
  <c r="D10" i="3"/>
  <c r="D8" i="3"/>
  <c r="C4" i="3"/>
  <c r="C12" i="3"/>
  <c r="AH7" i="3"/>
  <c r="C7" i="3"/>
  <c r="AG7" i="3" s="1"/>
  <c r="B12" i="3"/>
  <c r="B4" i="3"/>
  <c r="AC4" i="2"/>
  <c r="AC5" i="2"/>
  <c r="AB4" i="2"/>
  <c r="AB14" i="2" s="1"/>
  <c r="AH8" i="3"/>
  <c r="AH9" i="3"/>
  <c r="D18" i="3"/>
  <c r="D21" i="3" s="1"/>
  <c r="AH13" i="3"/>
  <c r="AH12" i="3"/>
  <c r="AH11" i="3"/>
  <c r="AH10" i="3"/>
  <c r="AH6" i="3"/>
  <c r="AH5" i="3"/>
  <c r="AH4" i="3"/>
  <c r="AH3" i="3"/>
  <c r="AF3" i="2"/>
  <c r="AH2" i="3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3" i="3"/>
  <c r="AG11" i="3"/>
  <c r="R14" i="3"/>
  <c r="AB14" i="3"/>
  <c r="AC14" i="3"/>
  <c r="Z14" i="3"/>
  <c r="I14" i="3"/>
  <c r="Y14" i="3"/>
  <c r="W14" i="3"/>
  <c r="AH14" i="3"/>
  <c r="AA5" i="2"/>
  <c r="AA3" i="2"/>
  <c r="AA8" i="2"/>
  <c r="AA14" i="2" s="1"/>
  <c r="AA10" i="2"/>
  <c r="Z4" i="2"/>
  <c r="Y10" i="2"/>
  <c r="Y8" i="2"/>
  <c r="Y4" i="2"/>
  <c r="Y14" i="2" s="1"/>
  <c r="X6" i="2"/>
  <c r="X4" i="2"/>
  <c r="W4" i="2"/>
  <c r="W11" i="2"/>
  <c r="W7" i="2"/>
  <c r="V2" i="2"/>
  <c r="V11" i="2"/>
  <c r="V4" i="2"/>
  <c r="U3" i="2"/>
  <c r="U4" i="2"/>
  <c r="T8" i="2"/>
  <c r="T14" i="2" s="1"/>
  <c r="S4" i="2"/>
  <c r="R3" i="2"/>
  <c r="R8" i="2"/>
  <c r="R10" i="2"/>
  <c r="R14" i="2" s="1"/>
  <c r="Q11" i="2"/>
  <c r="Q4" i="2"/>
  <c r="Q12" i="2"/>
  <c r="Q3" i="2"/>
  <c r="Q14" i="2" s="1"/>
  <c r="P12" i="2"/>
  <c r="P14" i="2" s="1"/>
  <c r="P3" i="2"/>
  <c r="P4" i="2"/>
  <c r="O4" i="2"/>
  <c r="O14" i="2" s="1"/>
  <c r="N12" i="2"/>
  <c r="N14" i="2" s="1"/>
  <c r="N4" i="2"/>
  <c r="M8" i="2"/>
  <c r="M12" i="2"/>
  <c r="M14" i="2" s="1"/>
  <c r="L10" i="2"/>
  <c r="L5" i="2"/>
  <c r="L4" i="2"/>
  <c r="L3" i="2"/>
  <c r="L14" i="2" s="1"/>
  <c r="K10" i="2"/>
  <c r="K3" i="2"/>
  <c r="J2" i="2"/>
  <c r="J4" i="2"/>
  <c r="J7" i="2"/>
  <c r="I3" i="2"/>
  <c r="I8" i="2"/>
  <c r="I4" i="2"/>
  <c r="I14" i="2" s="1"/>
  <c r="I5" i="2"/>
  <c r="H8" i="2"/>
  <c r="H10" i="2"/>
  <c r="G12" i="2"/>
  <c r="G14" i="2" s="1"/>
  <c r="D18" i="2"/>
  <c r="F4" i="2"/>
  <c r="F8" i="2"/>
  <c r="F12" i="2"/>
  <c r="AE12" i="2" s="1"/>
  <c r="F10" i="2"/>
  <c r="F14" i="2" s="1"/>
  <c r="E10" i="2"/>
  <c r="E4" i="2"/>
  <c r="E8" i="2"/>
  <c r="AE8" i="2" s="1"/>
  <c r="D13" i="2"/>
  <c r="D2" i="2"/>
  <c r="D8" i="2"/>
  <c r="D9" i="2"/>
  <c r="AE9" i="2" s="1"/>
  <c r="C4" i="2"/>
  <c r="C7" i="2"/>
  <c r="C10" i="2"/>
  <c r="C6" i="2"/>
  <c r="AE6" i="2" s="1"/>
  <c r="D20" i="2"/>
  <c r="C11" i="2"/>
  <c r="B4" i="2"/>
  <c r="B11" i="2"/>
  <c r="AF11" i="2"/>
  <c r="D19" i="2"/>
  <c r="AF13" i="2"/>
  <c r="AF12" i="2"/>
  <c r="AF10" i="2"/>
  <c r="AF9" i="2"/>
  <c r="AF7" i="2"/>
  <c r="AF5" i="2"/>
  <c r="AF4" i="2"/>
  <c r="AF2" i="2"/>
  <c r="S14" i="2"/>
  <c r="AE13" i="2"/>
  <c r="AE11" i="2"/>
  <c r="AE7" i="2"/>
  <c r="Z14" i="2"/>
  <c r="U14" i="2"/>
  <c r="J14" i="2"/>
  <c r="H14" i="2"/>
  <c r="D14" i="2"/>
  <c r="AD14" i="2"/>
  <c r="X14" i="2"/>
  <c r="W14" i="2"/>
  <c r="C14" i="2"/>
  <c r="AF4" i="1"/>
  <c r="D18" i="1"/>
  <c r="AE6" i="1"/>
  <c r="AE4" i="1"/>
  <c r="AD3" i="1"/>
  <c r="AD9" i="1"/>
  <c r="AD8" i="1"/>
  <c r="AD13" i="1"/>
  <c r="AD10" i="1"/>
  <c r="AC7" i="1"/>
  <c r="AC4" i="1"/>
  <c r="AC6" i="1"/>
  <c r="AC12" i="1"/>
  <c r="AB12" i="1"/>
  <c r="AB5" i="1"/>
  <c r="AB8" i="1"/>
  <c r="AA12" i="1"/>
  <c r="Z4" i="1"/>
  <c r="Z12" i="1"/>
  <c r="Y4" i="1"/>
  <c r="Y6" i="1"/>
  <c r="Y3" i="1"/>
  <c r="X3" i="1"/>
  <c r="X6" i="1"/>
  <c r="W6" i="1"/>
  <c r="W3" i="1"/>
  <c r="W4" i="1"/>
  <c r="W12" i="1"/>
  <c r="V4" i="1"/>
  <c r="U10" i="1"/>
  <c r="U4" i="1"/>
  <c r="R8" i="1"/>
  <c r="Q4" i="1"/>
  <c r="Q10" i="1"/>
  <c r="Q7" i="1"/>
  <c r="Q12" i="1"/>
  <c r="P4" i="1"/>
  <c r="P8" i="1"/>
  <c r="P13" i="1"/>
  <c r="P11" i="1"/>
  <c r="O4" i="1"/>
  <c r="O12" i="1"/>
  <c r="O11" i="1"/>
  <c r="M11" i="1"/>
  <c r="N11" i="1"/>
  <c r="N5" i="1"/>
  <c r="N8" i="1"/>
  <c r="N10" i="1"/>
  <c r="N12" i="1"/>
  <c r="M12" i="1"/>
  <c r="M13" i="1"/>
  <c r="M3" i="1"/>
  <c r="L11" i="1"/>
  <c r="L4" i="1"/>
  <c r="L3" i="1"/>
  <c r="K4" i="1"/>
  <c r="K3" i="1"/>
  <c r="K11" i="1"/>
  <c r="J4" i="1"/>
  <c r="I4" i="1"/>
  <c r="H6" i="1"/>
  <c r="H4" i="1"/>
  <c r="G10" i="1"/>
  <c r="G3" i="1"/>
  <c r="G8" i="1"/>
  <c r="G7" i="1"/>
  <c r="F4" i="1"/>
  <c r="F5" i="1"/>
  <c r="E8" i="1"/>
  <c r="E5" i="1"/>
  <c r="E4" i="1"/>
  <c r="D4" i="1"/>
  <c r="D6" i="1"/>
  <c r="C11" i="1"/>
  <c r="C10" i="1"/>
  <c r="C4" i="1"/>
  <c r="C5" i="1"/>
  <c r="C2" i="1"/>
  <c r="B7" i="1"/>
  <c r="B10" i="1"/>
  <c r="B5" i="1"/>
  <c r="AH11" i="1"/>
  <c r="AH13" i="1"/>
  <c r="AH12" i="1"/>
  <c r="AH10" i="1"/>
  <c r="AH9" i="1"/>
  <c r="AH8" i="1"/>
  <c r="AH7" i="1"/>
  <c r="AH2" i="1"/>
  <c r="AH3" i="1"/>
  <c r="A21" i="3" l="1"/>
  <c r="AC14" i="2"/>
  <c r="O14" i="3"/>
  <c r="AG11" i="5"/>
  <c r="I13" i="5"/>
  <c r="B14" i="4"/>
  <c r="K14" i="2"/>
  <c r="AE14" i="3"/>
  <c r="L14" i="4"/>
  <c r="B13" i="5"/>
  <c r="G13" i="5"/>
  <c r="C14" i="3"/>
  <c r="H14" i="4"/>
  <c r="D13" i="5"/>
  <c r="Z14" i="10"/>
  <c r="L14" i="9"/>
  <c r="B13" i="8"/>
  <c r="AC2" i="8"/>
  <c r="AC3" i="8"/>
  <c r="AC6" i="8"/>
  <c r="AC7" i="8"/>
  <c r="AC8" i="8"/>
  <c r="AC10" i="8"/>
  <c r="A20" i="8"/>
  <c r="AC5" i="8"/>
  <c r="AC4" i="8"/>
  <c r="AG7" i="5"/>
  <c r="AG9" i="5"/>
  <c r="A20" i="5"/>
  <c r="AG4" i="5"/>
  <c r="E13" i="5"/>
  <c r="AG2" i="5"/>
  <c r="AG5" i="5"/>
  <c r="T14" i="4"/>
  <c r="M14" i="4"/>
  <c r="AG5" i="4"/>
  <c r="J14" i="4"/>
  <c r="AG10" i="4"/>
  <c r="AF14" i="3"/>
  <c r="A21" i="4"/>
  <c r="AG3" i="4"/>
  <c r="AG4" i="4"/>
  <c r="AF14" i="4"/>
  <c r="P14" i="3"/>
  <c r="AG5" i="3"/>
  <c r="AG4" i="3"/>
  <c r="AG12" i="3"/>
  <c r="N14" i="3"/>
  <c r="J14" i="3"/>
  <c r="G14" i="3"/>
  <c r="AG8" i="3"/>
  <c r="F14" i="3"/>
  <c r="D14" i="3"/>
  <c r="AE4" i="2"/>
  <c r="AE5" i="2"/>
  <c r="AE10" i="2"/>
  <c r="AG2" i="3"/>
  <c r="AG3" i="3"/>
  <c r="B14" i="3"/>
  <c r="V14" i="2"/>
  <c r="E14" i="2"/>
  <c r="D21" i="2"/>
  <c r="AF14" i="2"/>
  <c r="AE2" i="2"/>
  <c r="AE3" i="2"/>
  <c r="B14" i="2"/>
  <c r="D21" i="1"/>
  <c r="AF14" i="1"/>
  <c r="AB14" i="1"/>
  <c r="J14" i="1"/>
  <c r="H14" i="1"/>
  <c r="AG13" i="1"/>
  <c r="W14" i="1"/>
  <c r="AG12" i="1"/>
  <c r="AG11" i="1"/>
  <c r="AG10" i="1"/>
  <c r="AG9" i="1"/>
  <c r="Z14" i="1"/>
  <c r="T14" i="1"/>
  <c r="AG8" i="1"/>
  <c r="AH14" i="1"/>
  <c r="AD14" i="1"/>
  <c r="R14" i="1"/>
  <c r="AG7" i="1"/>
  <c r="AG6" i="1"/>
  <c r="X14" i="1"/>
  <c r="AG5" i="1"/>
  <c r="AA14" i="1"/>
  <c r="Y14" i="1"/>
  <c r="U14" i="1"/>
  <c r="Q14" i="1"/>
  <c r="O14" i="1"/>
  <c r="AG4" i="1"/>
  <c r="AE14" i="1"/>
  <c r="AC14" i="1"/>
  <c r="V14" i="1"/>
  <c r="N14" i="1"/>
  <c r="M14" i="1"/>
  <c r="L14" i="1"/>
  <c r="K14" i="1"/>
  <c r="I14" i="1"/>
  <c r="G14" i="1"/>
  <c r="E14" i="1"/>
  <c r="D14" i="1"/>
  <c r="C14" i="1"/>
  <c r="B14" i="1"/>
  <c r="S14" i="1"/>
  <c r="P14" i="1"/>
  <c r="AC13" i="8" l="1"/>
  <c r="A18" i="8" s="1"/>
  <c r="AG13" i="5"/>
  <c r="A18" i="5" s="1"/>
  <c r="AG14" i="4"/>
  <c r="A19" i="4" s="1"/>
  <c r="AG14" i="3"/>
  <c r="A19" i="3" s="1"/>
  <c r="A21" i="2"/>
  <c r="AE14" i="2"/>
  <c r="A19" i="2" s="1"/>
  <c r="A21" i="1"/>
  <c r="AG2" i="1"/>
  <c r="AG3" i="1"/>
  <c r="F14" i="1"/>
  <c r="AG14" i="1" l="1"/>
  <c r="A19" i="1" s="1"/>
  <c r="L14" i="11"/>
  <c r="AG8" i="11"/>
  <c r="AG14" i="11"/>
</calcChain>
</file>

<file path=xl/comments1.xml><?xml version="1.0" encoding="utf-8"?>
<comments xmlns="http://schemas.openxmlformats.org/spreadsheetml/2006/main">
  <authors>
    <author>Rahul</author>
  </authors>
  <commentList>
    <comment ref="C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Past Shave=30
Haircut=40
Hair Spa=230</t>
        </r>
      </text>
    </comment>
    <comment ref="AH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Shave=120
Haircuts=160
Misc...</t>
        </r>
      </text>
    </comment>
    <comment ref="G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Azithromycin=60</t>
        </r>
      </text>
    </comment>
    <comment ref="K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Papulex=140</t>
        </r>
      </text>
    </comment>
    <comment ref="L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Face gel=125</t>
        </r>
      </text>
    </comment>
    <comment ref="M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Acne Aid=150</t>
        </r>
      </text>
    </comment>
    <comment ref="W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Toothpaste=109</t>
        </r>
      </text>
    </comment>
    <comment ref="X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Dahi=10</t>
        </r>
      </text>
    </comment>
    <comment ref="Y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Chyavanprash, Shampoo and Soap</t>
        </r>
      </text>
    </comment>
    <comment ref="AD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Bicasol=20</t>
        </r>
      </text>
    </comment>
    <comment ref="AH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Dahi=220
Soap=100
Acne Aid=150
Deo=200
Skin Meds=1500
Misc=300</t>
        </r>
      </text>
    </comment>
    <comment ref="C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Honey Chilli Potato=80</t>
        </r>
      </text>
    </comment>
    <comment ref="D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Bread Pakoda=10</t>
        </r>
      </text>
    </comment>
    <comment ref="E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Tea=7
Bread Pakoda=10</t>
        </r>
      </text>
    </comment>
    <comment ref="F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My tea=8
Aaloo Patty=15</t>
        </r>
      </text>
    </comment>
    <comment ref="H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Tea=8
Biscuit=22
Momos=20</t>
        </r>
      </text>
    </comment>
    <comment ref="I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Tea=1
Break Pakoda=10</t>
        </r>
      </text>
    </comment>
    <comment ref="J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Tea=7</t>
        </r>
      </text>
    </comment>
    <comment ref="K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Tea=10
Patty=20</t>
        </r>
      </text>
    </comment>
    <comment ref="L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Tea=10
Pakoda=10
Sambhar Wada=30</t>
        </r>
      </text>
    </comment>
    <comment ref="O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Kachodi=25
Galaxy chocolate=15</t>
        </r>
      </text>
    </comment>
    <comment ref="P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Juice=15</t>
        </r>
      </text>
    </comment>
    <comment ref="Q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Bread Pakoda=10</t>
        </r>
      </text>
    </comment>
    <comment ref="U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Bread Pakoda=10
Chocolate=10</t>
        </r>
      </text>
    </comment>
    <comment ref="V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Tea=10
Samosa x2=12
Chicken roll=55</t>
        </r>
      </text>
    </comment>
    <comment ref="W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Chicken Sandwich=105</t>
        </r>
      </text>
    </comment>
    <comment ref="Y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Kachodi=13
Fallero=4</t>
        </r>
      </text>
    </comment>
    <comment ref="Z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Tea=8
Biscuit=20</t>
        </r>
      </text>
    </comment>
    <comment ref="AC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Tea=10
Chat Papdi=35</t>
        </r>
      </text>
    </comment>
    <comment ref="AE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Tea=10
Kachodi=25</t>
        </r>
      </text>
    </comment>
    <comment ref="AF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Tea=10
Kachodi=25</t>
        </r>
      </text>
    </comment>
    <comment ref="B5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Fatehpur Sikri Tour=500
Resteraunt Bill=300</t>
        </r>
      </text>
    </comment>
    <comment ref="C5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Handicraft for Hanna=1120</t>
        </r>
      </text>
    </comment>
    <comment ref="E5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Puneet Pakoda=50
Soup=70</t>
        </r>
      </text>
    </comment>
    <comment ref="F5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Nigar's tea=8</t>
        </r>
      </text>
    </comment>
    <comment ref="N5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Ice Cream for Das=352</t>
        </r>
      </text>
    </comment>
    <comment ref="AB5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With Namamee and Tino @ Barista=~500</t>
        </r>
      </text>
    </comment>
    <comment ref="D6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Vicks=5</t>
        </r>
      </text>
    </comment>
    <comment ref="H6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Dal Makhani and 4 roti=54</t>
        </r>
      </text>
    </comment>
    <comment ref="W6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Mixture=5</t>
        </r>
      </text>
    </comment>
    <comment ref="X6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Haldiram's Baked chips=20</t>
        </r>
      </text>
    </comment>
    <comment ref="Y6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Dal Makhani and 4 butter roti=46</t>
        </r>
      </text>
    </comment>
    <comment ref="AC6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Mixture=10</t>
        </r>
      </text>
    </comment>
    <comment ref="AE6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Mixture=10</t>
        </r>
      </text>
    </comment>
    <comment ref="B7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Tip to Agra=50
Tip from Agra=30</t>
        </r>
      </text>
    </comment>
    <comment ref="G7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Petrol in scooter=100</t>
        </r>
      </text>
    </comment>
    <comment ref="Q7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Box=10
Water Bottle=10</t>
        </r>
      </text>
    </comment>
    <comment ref="AC7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Papa internet=100</t>
        </r>
      </text>
    </comment>
    <comment ref="AH7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DACNA X=1000
Papa Internet=400</t>
        </r>
      </text>
    </comment>
    <comment ref="E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Survivors=50</t>
        </r>
      </text>
    </comment>
    <comment ref="G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BOR=50
ASC meeting=50</t>
        </r>
      </text>
    </comment>
    <comment ref="N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SVP meeting=50</t>
        </r>
      </text>
    </comment>
    <comment ref="P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BOR=50</t>
        </r>
      </text>
    </comment>
    <comment ref="R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Convention Kitty=200</t>
        </r>
      </text>
    </comment>
    <comment ref="AB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BOR=50</t>
        </r>
      </text>
    </comment>
    <comment ref="AD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Survivors=50</t>
        </r>
      </text>
    </comment>
    <comment ref="AD9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Gol Gappas and Aaloo=60</t>
        </r>
      </text>
    </comment>
    <comment ref="B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Tip to Driver=100</t>
        </r>
      </text>
    </comment>
    <comment ref="C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Bus to MC=10</t>
        </r>
      </text>
    </comment>
    <comment ref="G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Bus from BKP to MC=15</t>
        </r>
      </text>
    </comment>
    <comment ref="N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Bus to SVP=10</t>
        </r>
      </text>
    </comment>
    <comment ref="Q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Metro Recharge=100
Train to Ramnagar=75
Auto to Wild Crest=70</t>
        </r>
      </text>
    </comment>
    <comment ref="U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Car to Ramnagar=100
Train to Delhi=80
Auto to UN=100
Bus to Bmom=10
Auto to Ring Road=10
Car to MC=20</t>
        </r>
      </text>
    </comment>
    <comment ref="AD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Metro recharge=100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To Puneet=110</t>
        </r>
      </text>
    </comment>
    <comment ref="K11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Borrowed from Ashok=-500</t>
        </r>
      </text>
    </comment>
    <comment ref="L11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Returned to Ashok=500</t>
        </r>
      </text>
    </comment>
    <comment ref="M11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Borrowed from Karan=-500</t>
        </r>
      </text>
    </comment>
    <comment ref="N11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Borrowed from Deepak=-500</t>
        </r>
      </text>
    </comment>
    <comment ref="O11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Returned to Deepak=500</t>
        </r>
      </text>
    </comment>
    <comment ref="P11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Returned to Karan=500</t>
        </r>
      </text>
    </comment>
    <comment ref="AH11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From Landlord=-4250
Suraj=-700
Harjog=-1000
Dad=255</t>
        </r>
      </text>
    </comment>
    <comment ref="M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Food=40
Cake=20</t>
        </r>
      </text>
    </comment>
    <comment ref="N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Juice=20
Chowmein=15</t>
        </r>
      </text>
    </comment>
    <comment ref="O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Lunch=50</t>
        </r>
      </text>
    </comment>
    <comment ref="Q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Paneer Pakoda=30
Lemon Drink=20
McDonalds=164</t>
        </r>
      </text>
    </comment>
    <comment ref="W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Food=45
Gulab Jamun=15</t>
        </r>
      </text>
    </comment>
    <comment ref="Z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Lunch@cafe=35</t>
        </r>
      </text>
    </comment>
    <comment ref="AA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Food=40</t>
        </r>
      </text>
    </comment>
    <comment ref="AB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Butter Chicken and Naan=130</t>
        </r>
      </text>
    </comment>
    <comment ref="AC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Lunch@cafe=45</t>
        </r>
      </text>
    </comment>
    <comment ref="M1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Chicken=130</t>
        </r>
      </text>
    </comment>
    <comment ref="P1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Rich Dad books=555</t>
        </r>
      </text>
    </comment>
    <comment ref="AD1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Sundae at CCD=140</t>
        </r>
      </text>
    </comment>
    <comment ref="D17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Paid on 1/1/2014</t>
        </r>
      </text>
    </comment>
    <comment ref="D1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786+98 paid on 1/1/2014
14 paid on 29/1</t>
        </r>
      </text>
    </comment>
  </commentList>
</comments>
</file>

<file path=xl/comments2.xml><?xml version="1.0" encoding="utf-8"?>
<comments xmlns="http://schemas.openxmlformats.org/spreadsheetml/2006/main">
  <authors>
    <author>Rahul</author>
  </authors>
  <commentList>
    <comment ref="D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Vest=145</t>
        </r>
      </text>
    </comment>
    <comment ref="J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Shirt fitting=300</t>
        </r>
      </text>
    </comment>
    <comment ref="V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Soap=23</t>
        </r>
      </text>
    </comment>
    <comment ref="I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Antibiotics=55</t>
        </r>
      </text>
    </comment>
    <comment ref="K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Medical Tests=620</t>
        </r>
      </text>
    </comment>
    <comment ref="L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Medicines=246</t>
        </r>
      </text>
    </comment>
    <comment ref="P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Cough Syrup=50
Deriphyllin=2</t>
        </r>
      </text>
    </comment>
    <comment ref="Q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Medicines=175</t>
        </r>
      </text>
    </comment>
    <comment ref="R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Sinarest=30
Acne aid=150</t>
        </r>
      </text>
    </comment>
    <comment ref="U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Syrup=50</t>
        </r>
      </text>
    </comment>
    <comment ref="AA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Septilin=95</t>
        </r>
      </text>
    </comment>
    <comment ref="AF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Soap=100
Acne Aid=200
Deo=200
Misc=500</t>
        </r>
      </text>
    </comment>
    <comment ref="B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Tea=10
Sambhar Wada=30</t>
        </r>
      </text>
    </comment>
    <comment ref="C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Chicken Soup for me and Beggar=10+10</t>
        </r>
      </text>
    </comment>
    <comment ref="E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Chicken Soup=25</t>
        </r>
      </text>
    </comment>
    <comment ref="F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Tandoori Chicken=130
White KitKat=65</t>
        </r>
      </text>
    </comment>
    <comment ref="I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Finger chips=40</t>
        </r>
      </text>
    </comment>
    <comment ref="J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Starbucks Lattee=164</t>
        </r>
      </text>
    </comment>
    <comment ref="L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Tea=10</t>
        </r>
      </text>
    </comment>
    <comment ref="N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Dal Mix=10
C. Momos=20</t>
        </r>
      </text>
    </comment>
    <comment ref="O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Tea=10</t>
        </r>
      </text>
    </comment>
    <comment ref="P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Tea=10</t>
        </r>
      </text>
    </comment>
    <comment ref="Q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Half burger=20
Ch. Soup=10</t>
        </r>
      </text>
    </comment>
    <comment ref="S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Choclate=35
Kachodi=25
Pastry=25</t>
        </r>
      </text>
    </comment>
    <comment ref="U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Tea=10
Mixture=10
Samosas=16
Hajmola=5</t>
        </r>
      </text>
    </comment>
    <comment ref="V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Tea=10
Haldiram Chips=20
Maggi=25</t>
        </r>
      </text>
    </comment>
    <comment ref="W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Tea=10
Fun Flips=10
Sandwich=20</t>
        </r>
      </text>
    </comment>
    <comment ref="X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Kachodi=25</t>
        </r>
      </text>
    </comment>
    <comment ref="Y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Kulche Roll=10
Orange Juice=20</t>
        </r>
      </text>
    </comment>
    <comment ref="Z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Juice=20
Ch. Momos=20</t>
        </r>
      </text>
    </comment>
    <comment ref="AB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Ch. Patty=20
Tea=10
Peanuts=10</t>
        </r>
      </text>
    </comment>
    <comment ref="AC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Ch. Patty=20
Tea=8
Sambhar Wada=30</t>
        </r>
      </text>
    </comment>
    <comment ref="A5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No gifts or tokens of generosity this month!</t>
        </r>
      </text>
    </comment>
    <comment ref="I5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For Ashish=40</t>
        </r>
      </text>
    </comment>
    <comment ref="L5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Paranthas with Viji=35
Shawarma with Viji=120
Tip=10</t>
        </r>
      </text>
    </comment>
    <comment ref="AA5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Tea for Deepak, Das and me=27
Grapes for Amitabh=60</t>
        </r>
      </text>
    </comment>
    <comment ref="AC5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Tea for Puru=8</t>
        </r>
      </text>
    </comment>
    <comment ref="C6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Dal Makhani and 5 Butter Roti=50</t>
        </r>
      </text>
    </comment>
    <comment ref="X6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Dal Makhani, 2 plain roti and 2 butter roti+1 Marbels. Paid 100, will take back remaining later</t>
        </r>
      </text>
    </comment>
    <comment ref="C7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Keenu for Mom=40</t>
        </r>
      </text>
    </comment>
    <comment ref="J7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Meetup=150</t>
        </r>
      </text>
    </comment>
    <comment ref="W7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Adapter=12</t>
        </r>
      </text>
    </comment>
    <comment ref="AF7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Remaining Internet bill=100
Internet bill=400
Misc=300</t>
        </r>
      </text>
    </comment>
    <comment ref="D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ASC=40</t>
        </r>
      </text>
    </comment>
    <comment ref="E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Darkness to light=20</t>
        </r>
      </text>
    </comment>
    <comment ref="F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BOR=20</t>
        </r>
      </text>
    </comment>
    <comment ref="H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BOR=20</t>
        </r>
      </text>
    </comment>
    <comment ref="I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Survivors=20</t>
        </r>
      </text>
    </comment>
    <comment ref="M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Survivors=20</t>
        </r>
      </text>
    </comment>
    <comment ref="R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SVP meeting=20</t>
        </r>
      </text>
    </comment>
    <comment ref="T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Survivors=20</t>
        </r>
      </text>
    </comment>
    <comment ref="Y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SVP=3</t>
        </r>
      </text>
    </comment>
    <comment ref="AA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Survivors=3</t>
        </r>
      </text>
    </comment>
    <comment ref="D9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Tea @ BOR=15</t>
        </r>
      </text>
    </comment>
    <comment ref="C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Bus from NP to UN=15</t>
        </r>
      </text>
    </comment>
    <comment ref="E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Bus from UN to MC=25</t>
        </r>
      </text>
    </comment>
    <comment ref="F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Auto to work=56
Bus to Rajouri=15</t>
        </r>
      </text>
    </comment>
    <comment ref="H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Metro Recharge=100</t>
        </r>
      </text>
    </comment>
    <comment ref="K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Metro Recharge=100
Auto t/f Comic Con=45</t>
        </r>
      </text>
    </comment>
    <comment ref="L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Auto=60(-20)</t>
        </r>
      </text>
    </comment>
    <comment ref="R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Metro Recharge=100</t>
        </r>
      </text>
    </comment>
    <comment ref="Y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Metro Recharge=100</t>
        </r>
      </text>
    </comment>
    <comment ref="AA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Bus to Jama Masjid=20</t>
        </r>
      </text>
    </comment>
    <comment ref="B11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From Harjog=-1000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From Landlord=-3500</t>
        </r>
      </text>
    </comment>
    <comment ref="Q11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To Akhil=200</t>
        </r>
      </text>
    </comment>
    <comment ref="V11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Returned by Akhil=-200
Given to Mudit=350</t>
        </r>
      </text>
    </comment>
    <comment ref="W11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Borrowed from Deepak=-200
Returned by Mudit=-350
Returned to Deepak=200</t>
        </r>
      </text>
    </comment>
    <comment ref="AF11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From Landlord=-3500
From Jogi=-1000
From Viji=-700</t>
        </r>
      </text>
    </comment>
    <comment ref="F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Lunch under MC metro=70</t>
        </r>
      </text>
    </comment>
    <comment ref="G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Maggi-20
Top Ramen-20</t>
        </r>
      </text>
    </comment>
    <comment ref="M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5 x Parle G(2 rs pack)=10</t>
        </r>
      </text>
    </comment>
    <comment ref="N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Jalebi=15</t>
        </r>
      </text>
    </comment>
    <comment ref="P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Lunch@cafe=100</t>
        </r>
      </text>
    </comment>
    <comment ref="Q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Lunch@cafe=35</t>
        </r>
      </text>
    </comment>
    <comment ref="D1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Sex=300+100</t>
        </r>
      </text>
    </comment>
    <comment ref="D17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Paid on 1/2</t>
        </r>
      </text>
    </comment>
    <comment ref="D1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98-4/2
249-5/2</t>
        </r>
      </text>
    </comment>
    <comment ref="D19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Done for this month</t>
        </r>
      </text>
    </comment>
    <comment ref="D2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Paid on 1/2</t>
        </r>
      </text>
    </comment>
  </commentList>
</comments>
</file>

<file path=xl/comments3.xml><?xml version="1.0" encoding="utf-8"?>
<comments xmlns="http://schemas.openxmlformats.org/spreadsheetml/2006/main">
  <authors>
    <author>Rahul</author>
  </authors>
  <commentList>
    <comment ref="D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Medicines=360</t>
        </r>
      </text>
    </comment>
    <comment ref="L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Soap=37
Levocetrazine=56</t>
        </r>
      </text>
    </comment>
    <comment ref="P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Septilin=105</t>
        </r>
      </text>
    </comment>
    <comment ref="AH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Soap=100
Acne Aid=200
Deo=200
Misc=500</t>
        </r>
      </text>
    </comment>
    <comment ref="B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Tea=10
Ch. Patty=20</t>
        </r>
      </text>
    </comment>
    <comment ref="C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Haldiram=20
Mango toffee=5
Ch. Sandwich=40
Milk Smoothie=25</t>
        </r>
      </text>
    </comment>
    <comment ref="E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Sambhar Idli=13</t>
        </r>
      </text>
    </comment>
    <comment ref="G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Ch. Patty=20
Tea=10
Extra=7
Haldiram Mix=10</t>
        </r>
      </text>
    </comment>
    <comment ref="H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Tea=10
Ch. Patty=20</t>
        </r>
      </text>
    </comment>
    <comment ref="I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Tea=10
Ch. Patty=20</t>
        </r>
      </text>
    </comment>
    <comment ref="L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Remaining Tea=1
Ch. Patty=20
Juice=20</t>
        </r>
      </text>
    </comment>
    <comment ref="M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Patty=20</t>
        </r>
      </text>
    </comment>
    <comment ref="O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Ch. Patty=20</t>
        </r>
      </text>
    </comment>
    <comment ref="P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Ch. Patty=20
Tea=10
Peanuts=5</t>
        </r>
      </text>
    </comment>
    <comment ref="Q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Tea=10
Ch. Patty=20
Juice=10</t>
        </r>
      </text>
    </comment>
    <comment ref="R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Chicken roll=50</t>
        </r>
      </text>
    </comment>
    <comment ref="T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Tea=10
Ch. Patty=20
Chilli Potato=35</t>
        </r>
      </text>
    </comment>
    <comment ref="V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Chilli Mushroon=40</t>
        </r>
      </text>
    </comment>
    <comment ref="W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Ch. Patty=20
Choclate Smoothie=25</t>
        </r>
      </text>
    </comment>
    <comment ref="X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Bhujia=10</t>
        </r>
      </text>
    </comment>
    <comment ref="Z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Kathi Roll=28</t>
        </r>
      </text>
    </comment>
    <comment ref="AA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Ch. Patty=20
Tea=10</t>
        </r>
      </text>
    </comment>
    <comment ref="AB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Ch. Patty=20
Tea=10</t>
        </r>
      </text>
    </comment>
    <comment ref="AC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Ch. Patty=20
Tea=10</t>
        </r>
      </text>
    </comment>
    <comment ref="AD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Ch. Patty=20</t>
        </r>
      </text>
    </comment>
    <comment ref="AE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Ch. Patty=20
Tea=10</t>
        </r>
      </text>
    </comment>
    <comment ref="D5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Coke with Ashish=35</t>
        </r>
      </text>
    </comment>
    <comment ref="F5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Melon for Amitabh=40
(20 remaining)</t>
        </r>
      </text>
    </comment>
    <comment ref="M5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Amitabh Rasberry=60</t>
        </r>
      </text>
    </comment>
    <comment ref="N5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Lunch with Girls=125</t>
        </r>
      </text>
    </comment>
    <comment ref="O5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Suraj Cigarette=10</t>
        </r>
      </text>
    </comment>
    <comment ref="Q5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Coke and Honey Chilli Porato=55</t>
        </r>
      </text>
    </comment>
    <comment ref="R5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Johnson's Baby Kit=280</t>
        </r>
      </text>
    </comment>
    <comment ref="S5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Holi Color=50</t>
        </r>
      </text>
    </comment>
    <comment ref="T5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Shivani, Shavy and Swati=90</t>
        </r>
      </text>
    </comment>
    <comment ref="X5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Cakes, choclates and tea=70</t>
        </r>
      </text>
    </comment>
    <comment ref="L6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Haldiram for Sheena=20</t>
        </r>
      </text>
    </comment>
    <comment ref="C7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Earphones=349
Dad=1100</t>
        </r>
      </text>
    </comment>
    <comment ref="F7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Water=2</t>
        </r>
      </text>
    </comment>
    <comment ref="M7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Papa Masala=60</t>
        </r>
      </text>
    </comment>
    <comment ref="AH7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Dad's Internet=700+400</t>
        </r>
      </text>
    </comment>
    <comment ref="D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BOR=20
ASC meeting=15</t>
        </r>
      </text>
    </comment>
    <comment ref="F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Survivors=4</t>
        </r>
      </text>
    </comment>
    <comment ref="J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Chetna=20</t>
        </r>
      </text>
    </comment>
    <comment ref="K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BOR=10</t>
        </r>
      </text>
    </comment>
    <comment ref="M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Survivors=20</t>
        </r>
      </text>
    </comment>
    <comment ref="R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BOR=18</t>
        </r>
      </text>
    </comment>
    <comment ref="S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Samarpan=50</t>
        </r>
      </text>
    </comment>
    <comment ref="U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Survivors=20</t>
        </r>
      </text>
    </comment>
    <comment ref="Y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BOR=20
SVP=10</t>
        </r>
      </text>
    </comment>
    <comment ref="AF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BOR=18
SVP=20</t>
        </r>
      </text>
    </comment>
    <comment ref="J9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Pakodas with Sukhen=100</t>
        </r>
      </text>
    </comment>
    <comment ref="S9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Bingo with Bhanu=20</t>
        </r>
      </text>
    </comment>
    <comment ref="D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Metro Recharge=100</t>
        </r>
      </text>
    </comment>
    <comment ref="F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Bus from DLF Ph V to Skiandarpur=5</t>
        </r>
      </text>
    </comment>
    <comment ref="J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Me and Vivek to ITO=30
Bus from ITO=10
Bus to CP=15</t>
        </r>
      </text>
    </comment>
    <comment ref="K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Bus to BOR=10
Bus to MC=15+1</t>
        </r>
      </text>
    </comment>
    <comment ref="M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Metro Recharge=100</t>
        </r>
      </text>
    </comment>
    <comment ref="R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Metro Recharge=100</t>
        </r>
      </text>
    </comment>
    <comment ref="U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Bus to Dwarka=25
Auto to Chhatarpur=225</t>
        </r>
      </text>
    </comment>
    <comment ref="V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Bus to Abacus=15
Bus from Abacus=15</t>
        </r>
      </text>
    </comment>
    <comment ref="W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Returned by Vivek for his us fare=-14</t>
        </r>
      </text>
    </comment>
    <comment ref="X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Bus to Delhi Gate=10
Bus from Delhi Gate=10</t>
        </r>
      </text>
    </comment>
    <comment ref="Y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Metro recharge=100</t>
        </r>
      </text>
    </comment>
    <comment ref="AF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Bus to AIIMS=15
Bus to HK=5
Bus to Puneet's=10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Borrowed from Kunal=-10</t>
        </r>
      </text>
    </comment>
    <comment ref="O11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Returned by Suraj=-700</t>
        </r>
      </text>
    </comment>
    <comment ref="B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Lunch@cafe=60</t>
        </r>
      </text>
    </comment>
    <comment ref="C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Rajma Chawal=40</t>
        </r>
      </text>
    </comment>
    <comment ref="H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Food@Buddy's=271</t>
        </r>
      </text>
    </comment>
    <comment ref="M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Chhole Bhature=40
Shikanji=20</t>
        </r>
      </text>
    </comment>
    <comment ref="O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Lunch@Tau Dhaba=45</t>
        </r>
      </text>
    </comment>
    <comment ref="P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Jalebi=15</t>
        </r>
      </text>
    </comment>
    <comment ref="T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Dal Makhani and Roti=45</t>
        </r>
      </text>
    </comment>
    <comment ref="V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Dal Makhani and Roti=45</t>
        </r>
      </text>
    </comment>
    <comment ref="X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Kachodi=25
Milk=20</t>
        </r>
      </text>
    </comment>
    <comment ref="AD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Food@Dhaba=55</t>
        </r>
      </text>
    </comment>
    <comment ref="AE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Food@Dhaba</t>
        </r>
      </text>
    </comment>
    <comment ref="I1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300 2=325</t>
        </r>
      </text>
    </comment>
    <comment ref="N1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CCD Sundae=150</t>
        </r>
      </text>
    </comment>
    <comment ref="D17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Paid on 3/3</t>
        </r>
      </text>
    </comment>
    <comment ref="D1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Recharge@786-3/3
Recharge@98-4/3</t>
        </r>
      </text>
    </comment>
    <comment ref="D19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On 1/3/2014</t>
        </r>
      </text>
    </comment>
  </commentList>
</comments>
</file>

<file path=xl/comments4.xml><?xml version="1.0" encoding="utf-8"?>
<comments xmlns="http://schemas.openxmlformats.org/spreadsheetml/2006/main">
  <authors>
    <author>Rahul</author>
    <author>Rahul S</author>
  </authors>
  <commentList>
    <comment ref="B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Trimming=30</t>
        </r>
      </text>
    </comment>
    <comment ref="K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Trimming=30</t>
        </r>
      </text>
    </comment>
    <comment ref="R2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Deo=200
Socks=360
Underwear=160
Shave=60</t>
        </r>
      </text>
    </comment>
    <comment ref="AD2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Shave=50</t>
        </r>
      </text>
    </comment>
    <comment ref="E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Soap=37</t>
        </r>
      </text>
    </comment>
    <comment ref="R3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Septilin=105</t>
        </r>
      </text>
    </comment>
    <comment ref="X3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Dettol Classic=37
Vicks=1</t>
        </r>
      </text>
    </comment>
    <comment ref="Z3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Acne-aid soap=100</t>
        </r>
      </text>
    </comment>
    <comment ref="AH3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Soap=100
Acne Aid=200
</t>
        </r>
      </text>
    </comment>
    <comment ref="D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Toffee=5</t>
        </r>
      </text>
    </comment>
    <comment ref="E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Dal mix=10</t>
        </r>
      </text>
    </comment>
    <comment ref="F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Milk=20
Ch. Patty=20</t>
        </r>
      </text>
    </comment>
    <comment ref="G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Kachodi=25
Mango Shake=25
Limca=35</t>
        </r>
      </text>
    </comment>
    <comment ref="I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Bingo=10
Choclate=20</t>
        </r>
      </text>
    </comment>
    <comment ref="J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Ic-cream with Ashok=45</t>
        </r>
      </text>
    </comment>
    <comment ref="K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Mango Shake=25</t>
        </r>
      </text>
    </comment>
    <comment ref="L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Chocolate=10</t>
        </r>
      </text>
    </comment>
    <comment ref="M4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Veg Chowmein=30</t>
        </r>
      </text>
    </comment>
    <comment ref="N4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Navratan Mix=10</t>
        </r>
      </text>
    </comment>
    <comment ref="P4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Coconut Water=30</t>
        </r>
      </text>
    </comment>
    <comment ref="Q4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Ice-cream=30</t>
        </r>
      </text>
    </comment>
    <comment ref="R4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Kurkure=10
5 Star for Deepak=20</t>
        </r>
      </text>
    </comment>
    <comment ref="T4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Senor Pepito=50</t>
        </r>
      </text>
    </comment>
    <comment ref="Z4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Chowmein by Bahadur=100</t>
        </r>
      </text>
    </comment>
    <comment ref="AA4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Kachodi=20</t>
        </r>
      </text>
    </comment>
    <comment ref="AF4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Chips=20
Milk=20
Chowmein=40</t>
        </r>
      </text>
    </comment>
    <comment ref="E5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Harshita Mazaa=20
Jogi Mushroom=150</t>
        </r>
      </text>
    </comment>
    <comment ref="H5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Dounut=70</t>
        </r>
      </text>
    </comment>
    <comment ref="J5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Pudding w/Amitabh=140
Pinaple w/Viv=20</t>
        </r>
      </text>
    </comment>
    <comment ref="N5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With Mudit=60</t>
        </r>
      </text>
    </comment>
    <comment ref="W5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Snack with Bhupi=66</t>
        </r>
      </text>
    </comment>
    <comment ref="Y5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Burgers with Rohit=164
Chocolate=40</t>
        </r>
      </text>
    </comment>
    <comment ref="AC5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Pizza with Gautam=220</t>
        </r>
      </text>
    </comment>
    <comment ref="H7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Earphones=305</t>
        </r>
      </text>
    </comment>
    <comment ref="L7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To Babban=50</t>
        </r>
      </text>
    </comment>
    <comment ref="U7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Tire Tube=130
Petrol=100</t>
        </r>
      </text>
    </comment>
    <comment ref="V7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Dhobi=10</t>
        </r>
      </text>
    </comment>
    <comment ref="Y7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By Dad for B'day=-1000
To Pizza guy=10
To Dad=100</t>
        </r>
      </text>
    </comment>
    <comment ref="AD7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Shoe repair=20</t>
        </r>
      </text>
    </comment>
    <comment ref="D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Survivors=20</t>
        </r>
      </text>
    </comment>
    <comment ref="H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BOR=20
ASC=20</t>
        </r>
      </text>
    </comment>
    <comment ref="J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Survivors celebration=920</t>
        </r>
      </text>
    </comment>
    <comment ref="O8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SVP=20</t>
        </r>
      </text>
    </comment>
    <comment ref="T8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Survivors=10</t>
        </r>
      </text>
    </comment>
    <comment ref="V8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Bonds of Recovery=50
Down to Earth=17</t>
        </r>
      </text>
    </comment>
    <comment ref="X8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Survivors=10</t>
        </r>
      </text>
    </comment>
    <comment ref="Z8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BOR=10</t>
        </r>
      </text>
    </comment>
    <comment ref="AC8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BOR=30</t>
        </r>
      </text>
    </comment>
    <comment ref="AD8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St Columbas=7</t>
        </r>
      </text>
    </comment>
    <comment ref="N9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Butterscotch Shake=100</t>
        </r>
      </text>
    </comment>
    <comment ref="B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Auto to Puneet's=10</t>
        </r>
      </text>
    </comment>
    <comment ref="C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Bus to AIIMS=5</t>
        </r>
      </text>
    </comment>
    <comment ref="D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Auto to metro=10
Bus to NP=15</t>
        </r>
      </text>
    </comment>
    <comment ref="E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Auto to work=53</t>
        </r>
      </text>
    </comment>
    <comment ref="G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Bus to LNH=10
Bus from LNH=10
Metro recharge=100</t>
        </r>
      </text>
    </comment>
    <comment ref="H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Bus to BOR=10</t>
        </r>
      </text>
    </comment>
    <comment ref="L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Metro Recharge=100</t>
        </r>
      </text>
    </comment>
    <comment ref="M10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Bus to Sec1=15
Bus from Sec1=15</t>
        </r>
      </text>
    </comment>
    <comment ref="N10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Metro Recharge=100</t>
        </r>
      </text>
    </comment>
    <comment ref="O10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from Ansal Plaza=5</t>
        </r>
      </text>
    </comment>
    <comment ref="P10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DW1=25
Rickswaw to work=20</t>
        </r>
      </text>
    </comment>
    <comment ref="Q10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work=25
Bus from work=15</t>
        </r>
      </text>
    </comment>
    <comment ref="R10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Work=15
Bus from Work=15</t>
        </r>
      </text>
    </comment>
    <comment ref="S10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work=15
Bus to UN=15
Bus to Home=15</t>
        </r>
      </text>
    </comment>
    <comment ref="T10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Work=15
Bus from Work=15</t>
        </r>
      </text>
    </comment>
    <comment ref="U10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Work=25
Bus to UN=10</t>
        </r>
      </text>
    </comment>
    <comment ref="V10" authorId="1" shapeId="0">
      <text>
        <r>
          <rPr>
            <b/>
            <sz val="8"/>
            <color indexed="81"/>
            <rFont val="Tahoma"/>
            <family val="2"/>
          </rPr>
          <t>Rahul S:</t>
        </r>
        <r>
          <rPr>
            <sz val="8"/>
            <color indexed="81"/>
            <rFont val="Tahoma"/>
            <family val="2"/>
          </rPr>
          <t xml:space="preserve">
Bus to GAIL=15</t>
        </r>
      </text>
    </comment>
    <comment ref="W10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Work=15
Bus from Work=15</t>
        </r>
      </text>
    </comment>
    <comment ref="X10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Work=25
Bus from work=15</t>
        </r>
      </text>
    </comment>
    <comment ref="Y10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Work=15
Rickshaw to work=20</t>
        </r>
      </text>
    </comment>
    <comment ref="Z10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Work=10
Bus from Work=15</t>
        </r>
      </text>
    </comment>
    <comment ref="AA10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work=15</t>
        </r>
      </text>
    </comment>
    <comment ref="AB10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pass=50</t>
        </r>
      </text>
    </comment>
    <comment ref="AE10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from work=15</t>
        </r>
      </text>
    </comment>
    <comment ref="AF10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work=15
Bus to home=15</t>
        </r>
      </text>
    </comment>
    <comment ref="B11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Borrowed from Deepak=-100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Returned to Deepak=100</t>
        </r>
      </text>
    </comment>
    <comment ref="L11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Returned to Mom=50</t>
        </r>
      </text>
    </comment>
    <comment ref="N11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Returned to Keshav=100</t>
        </r>
      </text>
    </comment>
    <comment ref="U11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Borrowed from Chachu for Meds=270</t>
        </r>
      </text>
    </comment>
    <comment ref="AF11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Returned to Chachu=270
Lent to Shradha=500</t>
        </r>
      </text>
    </comment>
    <comment ref="C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Lunch=45</t>
        </r>
      </text>
    </comment>
    <comment ref="D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B'fast=40
Lunch=45</t>
        </r>
      </text>
    </comment>
    <comment ref="G12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Lunch=40</t>
        </r>
      </text>
    </comment>
    <comment ref="S12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Thali@lunch=90</t>
        </r>
      </text>
    </comment>
    <comment ref="U12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Lunch=30</t>
        </r>
      </text>
    </comment>
    <comment ref="X12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Lunch=30</t>
        </r>
      </text>
    </comment>
    <comment ref="AB12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B'fast=70</t>
        </r>
      </text>
    </comment>
    <comment ref="AE12" authorId="1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Lunch=10</t>
        </r>
      </text>
    </comment>
    <comment ref="D18" authorId="0" shapeId="0">
      <text>
        <r>
          <rPr>
            <b/>
            <sz val="8"/>
            <color indexed="81"/>
            <rFont val="Tahoma"/>
            <charset val="1"/>
          </rPr>
          <t>Rahul:</t>
        </r>
        <r>
          <rPr>
            <sz val="8"/>
            <color indexed="81"/>
            <rFont val="Tahoma"/>
            <charset val="1"/>
          </rPr>
          <t xml:space="preserve">
Paid on 31/3</t>
        </r>
      </text>
    </comment>
  </commentList>
</comments>
</file>

<file path=xl/comments5.xml><?xml version="1.0" encoding="utf-8"?>
<comments xmlns="http://schemas.openxmlformats.org/spreadsheetml/2006/main">
  <authors>
    <author>Rahul S</author>
  </authors>
  <commentList>
    <comment ref="U2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Soap=60</t>
        </r>
      </text>
    </comment>
    <comment ref="F3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Bicasules=21</t>
        </r>
      </text>
    </comment>
    <comment ref="B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Chips=10
Kachodi=20
Juice=30</t>
        </r>
      </text>
    </comment>
    <comment ref="C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Chocolate=15</t>
        </r>
      </text>
    </comment>
    <comment ref="E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Chane=10</t>
        </r>
      </text>
    </comment>
    <comment ref="I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Chane=30
Remaining=10</t>
        </r>
      </text>
    </comment>
    <comment ref="J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Lassi=15</t>
        </r>
      </text>
    </comment>
    <comment ref="K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Masala Chana=30</t>
        </r>
      </text>
    </comment>
    <comment ref="M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Lassi=15</t>
        </r>
      </text>
    </comment>
    <comment ref="O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Masala Chana=30</t>
        </r>
      </text>
    </comment>
    <comment ref="T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Masala Chana=30</t>
        </r>
      </text>
    </comment>
    <comment ref="U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Masala Chana=30</t>
        </r>
      </text>
    </comment>
    <comment ref="D5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Amitabh Fruit=100
Khanna pepsi=30</t>
        </r>
      </text>
    </comment>
    <comment ref="G5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Lassi with Rajiv=30</t>
        </r>
      </text>
    </comment>
    <comment ref="L5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Starbucks with Viji=267</t>
        </r>
      </text>
    </comment>
    <comment ref="P5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Chilli Mushroom=150</t>
        </r>
      </text>
    </comment>
    <comment ref="Q5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Paneer=70
Ice-cream=100
Dahi=45</t>
        </r>
      </text>
    </comment>
    <comment ref="S5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Honey Chilli=80
Swimming=100</t>
        </r>
      </text>
    </comment>
    <comment ref="D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Mobile recharge=150
Token Amount=200</t>
        </r>
      </text>
    </comment>
    <comment ref="L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From Book Store=-60</t>
        </r>
      </text>
    </comment>
    <comment ref="N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Mobile Recharge=135
</t>
        </r>
      </text>
    </comment>
    <comment ref="P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Kharbuja=60
Top Ramen=20</t>
        </r>
      </text>
    </comment>
    <comment ref="R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Helmet=50</t>
        </r>
      </text>
    </comment>
    <comment ref="S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Petrol=100</t>
        </r>
      </text>
    </comment>
    <comment ref="U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Petrol=100</t>
        </r>
      </text>
    </comment>
    <comment ref="AH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Dad Internet=400
Anuja=2000</t>
        </r>
      </text>
    </comment>
    <comment ref="D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WOC=34</t>
        </r>
      </text>
    </comment>
    <comment ref="E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BOR=30
ASC=30</t>
        </r>
      </text>
    </comment>
    <comment ref="F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Winds of Change=20</t>
        </r>
      </text>
    </comment>
    <comment ref="H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WOC=9</t>
        </r>
      </text>
    </comment>
    <comment ref="I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BOR=30</t>
        </r>
      </text>
    </comment>
    <comment ref="L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BOR=20</t>
        </r>
      </text>
    </comment>
    <comment ref="R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Winds OC=50</t>
        </r>
      </text>
    </comment>
    <comment ref="S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BOR=15</t>
        </r>
      </text>
    </comment>
    <comment ref="I8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Gautam's Dinner=200</t>
        </r>
      </text>
    </comment>
    <comment ref="L8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CCD After meeting=175</t>
        </r>
      </text>
    </comment>
    <comment ref="R8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With Subodh=289</t>
        </r>
      </text>
    </comment>
    <comment ref="B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work=15
Bus from work=15</t>
        </r>
      </text>
    </comment>
    <comment ref="C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work=15
Bus from Work=15</t>
        </r>
      </text>
    </comment>
    <comment ref="D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Sec-1=15
Bus from Sec-1=25</t>
        </r>
      </text>
    </comment>
    <comment ref="F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Work=15
Bus from Work=25</t>
        </r>
      </text>
    </comment>
    <comment ref="G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Work=15
Bus from Work=25</t>
        </r>
      </text>
    </comment>
    <comment ref="H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Work=20
Bus from work=15</t>
        </r>
      </text>
    </comment>
    <comment ref="I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work=15</t>
        </r>
      </text>
    </comment>
    <comment ref="J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Work=15
Bus from work=15</t>
        </r>
      </text>
    </comment>
    <comment ref="K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Work=15</t>
        </r>
      </text>
    </comment>
    <comment ref="L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MC=15</t>
        </r>
      </text>
    </comment>
    <comment ref="M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home=10</t>
        </r>
      </text>
    </comment>
    <comment ref="N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work=10
</t>
        </r>
      </text>
    </comment>
    <comment ref="P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Auto to work=70
Bus home=10</t>
        </r>
      </text>
    </comment>
    <comment ref="R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AIIMS=15
Bus to Aur mark=10</t>
        </r>
      </text>
    </comment>
    <comment ref="S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S. Ex=15</t>
        </r>
      </text>
    </comment>
    <comment ref="T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Sec 1=15</t>
        </r>
      </text>
    </comment>
    <comment ref="U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Home=10</t>
        </r>
      </text>
    </comment>
    <comment ref="E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Metro Recharge=100</t>
        </r>
      </text>
    </comment>
    <comment ref="F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From Sanjay=-200
From Ashish=-600</t>
        </r>
      </text>
    </comment>
    <comment ref="G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Returned to Sanjay=200</t>
        </r>
      </text>
    </comment>
    <comment ref="I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From Chane wala=-40</t>
        </r>
      </text>
    </comment>
    <comment ref="K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Returned to Ashish=600</t>
        </r>
      </text>
    </comment>
    <comment ref="L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From Mom=-20
To Mom=20</t>
        </r>
      </text>
    </comment>
    <comment ref="B11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Choclate Milk=30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B'fast=70</t>
        </r>
      </text>
    </comment>
    <comment ref="H11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Biryani=100
Kadai Ch=100</t>
        </r>
      </text>
    </comment>
    <comment ref="K11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Biryani=80</t>
        </r>
      </text>
    </comment>
    <comment ref="R11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Biryani=60</t>
        </r>
      </text>
    </comment>
    <comment ref="T11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Biryani=60</t>
        </r>
      </text>
    </comment>
    <comment ref="D1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Paid on 18/5</t>
        </r>
      </text>
    </comment>
  </commentList>
</comments>
</file>

<file path=xl/comments6.xml><?xml version="1.0" encoding="utf-8"?>
<comments xmlns="http://schemas.openxmlformats.org/spreadsheetml/2006/main">
  <authors>
    <author>Rahul S</author>
  </authors>
  <commentList>
    <comment ref="B2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Shave and Haircut=100
Deo=200</t>
        </r>
      </text>
    </comment>
    <comment ref="I2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Shave=30</t>
        </r>
      </text>
    </comment>
    <comment ref="H3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Toothpaste=40</t>
        </r>
      </text>
    </comment>
    <comment ref="I3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Sugar Test@Dr. Lal=80
Sugar Test@ Chemist=30</t>
        </r>
      </text>
    </comment>
    <comment ref="P3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Goodnight Refil=63</t>
        </r>
      </text>
    </comment>
    <comment ref="C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Sudeep Momos=100</t>
        </r>
      </text>
    </comment>
    <comment ref="D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Refund from Sudeep - 5/9/14=-100</t>
        </r>
      </text>
    </comment>
    <comment ref="F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Mixed Veg Roll=45</t>
        </r>
      </text>
    </comment>
    <comment ref="G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Mixed Veg Roll=45</t>
        </r>
      </text>
    </comment>
    <comment ref="H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Veg Roll=25</t>
        </r>
      </text>
    </comment>
    <comment ref="I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Top Ramen=10</t>
        </r>
      </text>
    </comment>
    <comment ref="M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Top Ramen=10
Juice=20</t>
        </r>
      </text>
    </comment>
    <comment ref="P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Apple Drink@N Sec 15 Metro=20</t>
        </r>
      </text>
    </comment>
    <comment ref="Q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Kurkure=10
Water=20</t>
        </r>
      </text>
    </comment>
    <comment ref="E5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Mom Dinner=500</t>
        </r>
      </text>
    </comment>
    <comment ref="I5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Sutra Café=1000</t>
        </r>
      </text>
    </comment>
    <comment ref="K5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Dinner Ashish=-65</t>
        </r>
      </text>
    </comment>
    <comment ref="M5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Juice for Team=100</t>
        </r>
      </text>
    </comment>
    <comment ref="B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DDA Form=150</t>
        </r>
      </text>
    </comment>
    <comment ref="D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Label Sheets=290
To Harsh for tape=500</t>
        </r>
      </text>
    </comment>
    <comment ref="E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Register=160</t>
        </r>
      </text>
    </comment>
    <comment ref="F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From Harsh for Tape=-350</t>
        </r>
      </text>
    </comment>
    <comment ref="P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For the dispatch day=-490</t>
        </r>
      </text>
    </comment>
    <comment ref="Q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Books for Neville=270</t>
        </r>
      </text>
    </comment>
    <comment ref="B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BOR=20</t>
        </r>
      </text>
    </comment>
    <comment ref="C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Metro to/from Shivaji Park=200</t>
        </r>
      </text>
    </comment>
    <comment ref="G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BOR=20</t>
        </r>
      </text>
    </comment>
    <comment ref="J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Survivors=10</t>
        </r>
      </text>
    </comment>
    <comment ref="L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BOR=10</t>
        </r>
      </text>
    </comment>
    <comment ref="N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Survivors=20</t>
        </r>
      </text>
    </comment>
    <comment ref="P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BOR=20</t>
        </r>
      </text>
    </comment>
    <comment ref="Q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Freedom=30</t>
        </r>
      </text>
    </comment>
    <comment ref="J8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Dinner with Ashish=328</t>
        </r>
      </text>
    </comment>
    <comment ref="M8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Resteraunt w/Kundan=20
CNG=20</t>
        </r>
      </text>
    </comment>
    <comment ref="I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Rickshaw to Golak Dham=30
Auto-Kapashera to Sutra=70
Auto-Sutra to Kapashera=100
Auto-Kapashera to Dw 1=150</t>
        </r>
      </text>
    </comment>
    <comment ref="J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Cab to dw 1=10</t>
        </r>
      </text>
    </comment>
    <comment ref="L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Aganj to Nplace=5
Nplace to Dsec1=20</t>
        </r>
      </text>
    </comment>
    <comment ref="M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DW1 to SDA=20</t>
        </r>
      </text>
    </comment>
    <comment ref="N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NP=15</t>
        </r>
      </text>
    </comment>
    <comment ref="P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Rick to Gdham=30
Auto to Sec 62=60
Auto to Nsec 15=15
Auto to RP chowk=60</t>
        </r>
      </text>
    </comment>
    <comment ref="Q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AP Ex to Spark=100
Metro Recharge=100
Bus back=5</t>
        </r>
      </text>
    </comment>
    <comment ref="B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From Pal Sir=-50</t>
        </r>
      </text>
    </comment>
    <comment ref="H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From Harsh=-3500</t>
        </r>
      </text>
    </comment>
    <comment ref="P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Paid for Lunch by Rajiv=-100</t>
        </r>
      </text>
    </comment>
    <comment ref="AD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From Harsh=-3500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Ch. Biryani=50</t>
        </r>
      </text>
    </comment>
    <comment ref="N11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Milk=15
Thali=60</t>
        </r>
      </text>
    </comment>
    <comment ref="O11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Top Ramen=10
McDonalds(office)=550</t>
        </r>
      </text>
    </comment>
    <comment ref="P11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Lunch=10</t>
        </r>
      </text>
    </comment>
  </commentList>
</comments>
</file>

<file path=xl/comments7.xml><?xml version="1.0" encoding="utf-8"?>
<comments xmlns="http://schemas.openxmlformats.org/spreadsheetml/2006/main">
  <authors>
    <author>Rahul S</author>
  </authors>
  <commentList>
    <comment ref="D2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Azax 500 x2 = 130</t>
        </r>
      </text>
    </comment>
    <comment ref="G2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Doctor UC Gulati=500</t>
        </r>
      </text>
    </comment>
    <comment ref="B3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Navrattan Mix = 10</t>
        </r>
      </text>
    </comment>
    <comment ref="C3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Water=20
Top Ramen=20
Perk=10</t>
        </r>
      </text>
    </comment>
    <comment ref="D3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Toffee = 1</t>
        </r>
      </text>
    </comment>
    <comment ref="E3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Water=18
Chips=10</t>
        </r>
      </text>
    </comment>
    <comment ref="G3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Kurkure=10
Lemon=10
Momos=20
Juice=20</t>
        </r>
      </text>
    </comment>
    <comment ref="H3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Kathi Roll@RK Ashram=30</t>
        </r>
      </text>
    </comment>
    <comment ref="B5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To Auto for Diwali=10</t>
        </r>
      </text>
    </comment>
    <comment ref="B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WOC=20</t>
        </r>
      </text>
    </comment>
    <comment ref="C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BOR=10</t>
        </r>
      </text>
    </comment>
    <comment ref="D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Survivors=10</t>
        </r>
      </text>
    </comment>
    <comment ref="E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Navyug School=20</t>
        </r>
      </text>
    </comment>
    <comment ref="F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BOR=20
SVP=20</t>
        </r>
      </text>
    </comment>
    <comment ref="B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With Popeye=100</t>
        </r>
      </text>
    </comment>
    <comment ref="D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Mojito=140</t>
        </r>
      </text>
    </comment>
    <comment ref="F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With Ashish=80</t>
        </r>
      </text>
    </comment>
    <comment ref="B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To Mom for Diwali=500</t>
        </r>
      </text>
    </comment>
    <comment ref="G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Apples=60</t>
        </r>
      </text>
    </comment>
    <comment ref="B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Metro Recharge=200
Auto to meeting=50</t>
        </r>
      </text>
    </comment>
    <comment ref="F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Petrol=200</t>
        </r>
      </text>
    </comment>
    <comment ref="G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Sadar Bazar=10
Bus from Sadar bazar=10</t>
        </r>
      </text>
    </comment>
    <comment ref="H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Auto to Viji=10</t>
        </r>
      </text>
    </comment>
  </commentList>
</comments>
</file>

<file path=xl/comments8.xml><?xml version="1.0" encoding="utf-8"?>
<comments xmlns="http://schemas.openxmlformats.org/spreadsheetml/2006/main">
  <authors>
    <author>Rahul S</author>
  </authors>
  <commentList>
    <comment ref="C2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Pan 40 and Metrogyl 400=80</t>
        </r>
      </text>
    </comment>
    <comment ref="G2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Clavam 625x2=40</t>
        </r>
      </text>
    </comment>
    <comment ref="H2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Clavam x4=85</t>
        </r>
      </text>
    </comment>
    <comment ref="I2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Stitches removal=100</t>
        </r>
      </text>
    </comment>
    <comment ref="O2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Blue Blazer=2500</t>
        </r>
      </text>
    </comment>
    <comment ref="S2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UC Gulati=300</t>
        </r>
      </text>
    </comment>
    <comment ref="T2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Watch pin=10</t>
        </r>
      </text>
    </comment>
    <comment ref="U2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That Jyot thing=10</t>
        </r>
      </text>
    </comment>
    <comment ref="W2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Soap and Condoms=30</t>
        </r>
      </text>
    </comment>
    <comment ref="G3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Kachodi=15</t>
        </r>
      </text>
    </comment>
    <comment ref="T3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Top Ramen x 4=40</t>
        </r>
      </text>
    </comment>
    <comment ref="U3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Green Tea=60</t>
        </r>
      </text>
    </comment>
    <comment ref="B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Gautam &amp; Co.=30
Mom for ations=200</t>
        </r>
      </text>
    </comment>
    <comment ref="C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Interstellar=594</t>
        </r>
      </text>
    </comment>
    <comment ref="J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After Meetup=200</t>
        </r>
      </text>
    </comment>
    <comment ref="K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Lunch w/Viji=200
Starbucks w/Viji=185</t>
        </r>
      </text>
    </comment>
    <comment ref="Q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Nigar's function=1200
Desert w/Viji=40</t>
        </r>
      </text>
    </comment>
    <comment ref="R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To Das for Pizza=200
Mountain Dew=80</t>
        </r>
      </text>
    </comment>
    <comment ref="V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Tandoori Ch w/Varun=200
Tea w/Varun=30</t>
        </r>
      </text>
    </comment>
    <comment ref="W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M. Dew=35
Shawarma=290</t>
        </r>
      </text>
    </comment>
    <comment ref="Y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Lunch w/Das=190</t>
        </r>
      </text>
    </comment>
    <comment ref="K5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Parking@Nizam=30</t>
        </r>
      </text>
    </comment>
    <comment ref="Q5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Mango Bite=50</t>
        </r>
      </text>
    </comment>
    <comment ref="X5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Petrol Viji=100</t>
        </r>
      </text>
    </comment>
    <comment ref="E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WOC=20</t>
        </r>
      </text>
    </comment>
    <comment ref="G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WOC=20</t>
        </r>
      </text>
    </comment>
    <comment ref="H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BOR=10</t>
        </r>
      </text>
    </comment>
    <comment ref="I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Conv meeting=50
Freedom=20</t>
        </r>
      </text>
    </comment>
    <comment ref="J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WOC=20</t>
        </r>
      </text>
    </comment>
    <comment ref="K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SVP=10</t>
        </r>
      </text>
    </comment>
    <comment ref="M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Survivors=10</t>
        </r>
      </text>
    </comment>
    <comment ref="N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Survivors=5</t>
        </r>
      </text>
    </comment>
    <comment ref="O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BOR=20</t>
        </r>
      </text>
    </comment>
    <comment ref="P6" authorId="0" shapeId="0">
      <text>
        <r>
          <rPr>
            <b/>
            <sz val="8"/>
            <color indexed="81"/>
            <rFont val="Tahoma"/>
            <family val="2"/>
          </rPr>
          <t>Rahul S:</t>
        </r>
        <r>
          <rPr>
            <sz val="8"/>
            <color indexed="81"/>
            <rFont val="Tahoma"/>
            <family val="2"/>
          </rPr>
          <t xml:space="preserve">
Freedom=20</t>
        </r>
      </text>
    </comment>
    <comment ref="S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Workshop=20</t>
        </r>
      </text>
    </comment>
    <comment ref="T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BOR=15</t>
        </r>
      </text>
    </comment>
    <comment ref="Y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SVP=30</t>
        </r>
      </text>
    </comment>
    <comment ref="D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Mc Donalds=130</t>
        </r>
      </text>
    </comment>
    <comment ref="F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Assam Tea=100
Choc Cake=140</t>
        </r>
      </text>
    </comment>
    <comment ref="G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Ch. Momos=40
Juice=20</t>
        </r>
      </text>
    </comment>
    <comment ref="I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Kachodi=18</t>
        </r>
      </text>
    </comment>
    <comment ref="J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With Sanjeet=228</t>
        </r>
      </text>
    </comment>
    <comment ref="K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Mojito=130</t>
        </r>
      </text>
    </comment>
    <comment ref="M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Ch. Momos=40</t>
        </r>
      </text>
    </comment>
    <comment ref="O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Ch. Roll=50</t>
        </r>
      </text>
    </comment>
    <comment ref="P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Kachodi=18</t>
        </r>
      </text>
    </comment>
    <comment ref="X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Lays with Rajeev=10</t>
        </r>
      </text>
    </comment>
    <comment ref="Y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Dahi chaat w/Subodh=80</t>
        </r>
      </text>
    </comment>
    <comment ref="C8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Phone Bill=738</t>
        </r>
      </text>
    </comment>
    <comment ref="T8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TFC Cable=500</t>
        </r>
      </text>
    </comment>
    <comment ref="X8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Toffee for TFC=175</t>
        </r>
      </text>
    </comment>
    <comment ref="E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Dal for Mom=50</t>
        </r>
      </text>
    </comment>
    <comment ref="F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Butter+Dahi=232</t>
        </r>
      </text>
    </comment>
    <comment ref="H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Petrol=100</t>
        </r>
      </text>
    </comment>
    <comment ref="M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Mom's Aata=30
Oranges=40</t>
        </r>
      </text>
    </comment>
    <comment ref="N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Clothes=24
Mayo-158</t>
        </r>
      </text>
    </comment>
    <comment ref="O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2kg Oranges=30</t>
        </r>
      </text>
    </comment>
    <comment ref="P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Petrol=100</t>
        </r>
      </text>
    </comment>
    <comment ref="Q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Petrol=200</t>
        </r>
      </text>
    </comment>
    <comment ref="D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Metro recharge=100</t>
        </r>
      </text>
    </comment>
    <comment ref="F10" authorId="0" shapeId="0">
      <text>
        <r>
          <rPr>
            <b/>
            <sz val="8"/>
            <color indexed="81"/>
            <rFont val="Tahoma"/>
            <family val="2"/>
          </rPr>
          <t>Rahul S:</t>
        </r>
        <r>
          <rPr>
            <sz val="8"/>
            <color indexed="81"/>
            <rFont val="Tahoma"/>
            <family val="2"/>
          </rPr>
          <t xml:space="preserve">
To Kunal's House=10
From K's house=10</t>
        </r>
      </text>
    </comment>
    <comment ref="G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Metro recharge=100</t>
        </r>
      </text>
    </comment>
    <comment ref="J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KSB=15
Bus to NP=15
Bus to IIT=10
Metro RC=100</t>
        </r>
      </text>
    </comment>
    <comment ref="K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SVP=10</t>
        </r>
      </text>
    </comment>
    <comment ref="M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UN=15</t>
        </r>
      </text>
    </comment>
    <comment ref="P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Metro recharge=100</t>
        </r>
      </text>
    </comment>
    <comment ref="R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HK=15
Auto to Manghani's=10
Metro RC=100</t>
        </r>
      </text>
    </comment>
    <comment ref="S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UC Gulati=10
Bus from UC Gul=20</t>
        </r>
      </text>
    </comment>
    <comment ref="W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Metro R/c=100
Auto to Viji=20</t>
        </r>
      </text>
    </comment>
    <comment ref="D11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Aakash's food=130</t>
        </r>
      </text>
    </comment>
    <comment ref="I11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Balance 4 rs to dhaba wala=-4</t>
        </r>
      </text>
    </comment>
    <comment ref="J11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RAM change=1350
Returned on 7/12/14 by ASC=-1350</t>
        </r>
      </text>
    </comment>
    <comment ref="X11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Lent to Viji=1100
Returned by Harsh=-2000</t>
        </r>
      </text>
    </comment>
    <comment ref="I12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Dal and Roti=74</t>
        </r>
      </text>
    </comment>
    <comment ref="L13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Silk Choclate=150</t>
        </r>
      </text>
    </comment>
  </commentList>
</comments>
</file>

<file path=xl/comments9.xml><?xml version="1.0" encoding="utf-8"?>
<comments xmlns="http://schemas.openxmlformats.org/spreadsheetml/2006/main">
  <authors>
    <author>Rahul S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Rahul S:</t>
        </r>
        <r>
          <rPr>
            <sz val="8"/>
            <color indexed="81"/>
            <rFont val="Tahoma"/>
            <family val="2"/>
          </rPr>
          <t xml:space="preserve">
UC Gulati=500</t>
        </r>
      </text>
    </comment>
    <comment ref="L2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Bicasol=23</t>
        </r>
      </text>
    </comment>
    <comment ref="M2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Haircut=50</t>
        </r>
      </text>
    </comment>
    <comment ref="P2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UCG=650</t>
        </r>
      </text>
    </comment>
    <comment ref="W2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Antibiotics=350</t>
        </r>
      </text>
    </comment>
    <comment ref="Y2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Face Mask=390
Face Foam=630</t>
        </r>
      </text>
    </comment>
    <comment ref="AC2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Augpen=70</t>
        </r>
      </text>
    </comment>
    <comment ref="AE2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Sortet Capsules=140</t>
        </r>
      </text>
    </comment>
    <comment ref="D3" authorId="0" shapeId="0">
      <text>
        <r>
          <rPr>
            <b/>
            <sz val="8"/>
            <color indexed="81"/>
            <rFont val="Tahoma"/>
            <family val="2"/>
          </rPr>
          <t>Rahul S:</t>
        </r>
        <r>
          <rPr>
            <sz val="8"/>
            <color indexed="81"/>
            <rFont val="Tahoma"/>
            <family val="2"/>
          </rPr>
          <t xml:space="preserve">
Choclate=10</t>
        </r>
      </text>
    </comment>
    <comment ref="E3" authorId="0" shapeId="0">
      <text>
        <r>
          <rPr>
            <b/>
            <sz val="8"/>
            <color indexed="81"/>
            <rFont val="Tahoma"/>
            <family val="2"/>
          </rPr>
          <t>Rahul S:</t>
        </r>
        <r>
          <rPr>
            <sz val="8"/>
            <color indexed="81"/>
            <rFont val="Tahoma"/>
            <family val="2"/>
          </rPr>
          <t xml:space="preserve">
Peanuts=10</t>
        </r>
      </text>
    </comment>
    <comment ref="H3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Kurkure=10
Orange Juice=20
Ch. Soup=30</t>
        </r>
      </text>
    </comment>
    <comment ref="J3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Corn=30</t>
        </r>
      </text>
    </comment>
    <comment ref="S3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Munch=10</t>
        </r>
      </text>
    </comment>
    <comment ref="V3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Gol Gappas=20</t>
        </r>
      </text>
    </comment>
    <comment ref="X3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Masala Chap=70</t>
        </r>
      </text>
    </comment>
    <comment ref="AC3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Choclate=10</t>
        </r>
      </text>
    </comment>
    <comment ref="AD3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Chips=10</t>
        </r>
      </text>
    </comment>
    <comment ref="B4" authorId="0" shapeId="0">
      <text>
        <r>
          <rPr>
            <b/>
            <sz val="8"/>
            <color indexed="81"/>
            <rFont val="Tahoma"/>
            <family val="2"/>
          </rPr>
          <t>Rahul S:</t>
        </r>
        <r>
          <rPr>
            <sz val="8"/>
            <color indexed="81"/>
            <rFont val="Tahoma"/>
            <family val="2"/>
          </rPr>
          <t xml:space="preserve">
O'yes and Muffins=50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Rahul S:</t>
        </r>
        <r>
          <rPr>
            <sz val="8"/>
            <color indexed="81"/>
            <rFont val="Tahoma"/>
            <family val="2"/>
          </rPr>
          <t xml:space="preserve">
Moolchand w/Das=100</t>
        </r>
      </text>
    </comment>
    <comment ref="F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Oranges for Amitabh=60</t>
        </r>
      </text>
    </comment>
    <comment ref="G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Coke for Das=55</t>
        </r>
      </text>
    </comment>
    <comment ref="K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Ice cream w/Sridhar=200</t>
        </r>
      </text>
    </comment>
    <comment ref="M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Samosa+Jalebi=40
Roti=54
Tomato=10</t>
        </r>
      </text>
    </comment>
    <comment ref="N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To Prashant=100</t>
        </r>
      </text>
    </comment>
    <comment ref="O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Das Handwash=67</t>
        </r>
      </text>
    </comment>
    <comment ref="T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CP with Lakha=360</t>
        </r>
      </text>
    </comment>
    <comment ref="U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Lunch w/Viji=100
Gol Gappas w/Das=30</t>
        </r>
      </text>
    </comment>
    <comment ref="W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With Bhupi=60</t>
        </r>
      </text>
    </comment>
    <comment ref="Z4" authorId="0" shapeId="0">
      <text>
        <r>
          <rPr>
            <b/>
            <sz val="8"/>
            <color indexed="81"/>
            <rFont val="Tahoma"/>
            <family val="2"/>
          </rPr>
          <t>Rahul S:</t>
        </r>
        <r>
          <rPr>
            <sz val="8"/>
            <color indexed="81"/>
            <rFont val="Tahoma"/>
            <family val="2"/>
          </rPr>
          <t xml:space="preserve">
Dinner w/Das=1000</t>
        </r>
      </text>
    </comment>
    <comment ref="AB4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B'fast with Viji=99
Nizamuddin Lunch=130</t>
        </r>
      </text>
    </comment>
    <comment ref="B5" authorId="0" shapeId="0">
      <text>
        <r>
          <rPr>
            <b/>
            <sz val="8"/>
            <color indexed="81"/>
            <rFont val="Tahoma"/>
            <family val="2"/>
          </rPr>
          <t>Rahul S:</t>
        </r>
        <r>
          <rPr>
            <sz val="8"/>
            <color indexed="81"/>
            <rFont val="Tahoma"/>
            <family val="2"/>
          </rPr>
          <t xml:space="preserve">
Pickle=20</t>
        </r>
      </text>
    </comment>
    <comment ref="E5" authorId="0" shapeId="0">
      <text>
        <r>
          <rPr>
            <b/>
            <sz val="8"/>
            <color indexed="81"/>
            <rFont val="Tahoma"/>
            <family val="2"/>
          </rPr>
          <t>Rahul S:</t>
        </r>
        <r>
          <rPr>
            <sz val="8"/>
            <color indexed="81"/>
            <rFont val="Tahoma"/>
            <family val="2"/>
          </rPr>
          <t xml:space="preserve">
Besan=35</t>
        </r>
      </text>
    </comment>
    <comment ref="G5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Charger Repair=150</t>
        </r>
      </text>
    </comment>
    <comment ref="H5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Sulabh Potty=5</t>
        </r>
      </text>
    </comment>
    <comment ref="O5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Sulabh Potty=5</t>
        </r>
      </text>
    </comment>
    <comment ref="AD5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DSP Blackrock=1000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Rahul S:</t>
        </r>
        <r>
          <rPr>
            <sz val="8"/>
            <color indexed="81"/>
            <rFont val="Tahoma"/>
            <family val="2"/>
          </rPr>
          <t xml:space="preserve">
Survivors=10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Rahul S:</t>
        </r>
        <r>
          <rPr>
            <sz val="8"/>
            <color indexed="81"/>
            <rFont val="Tahoma"/>
            <family val="2"/>
          </rPr>
          <t xml:space="preserve">
WOC=20</t>
        </r>
      </text>
    </comment>
    <comment ref="F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Convention Meeting=20</t>
        </r>
      </text>
    </comment>
    <comment ref="I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WOC=30</t>
        </r>
      </text>
    </comment>
    <comment ref="K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Survivors=20</t>
        </r>
      </text>
    </comment>
    <comment ref="L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Samarpan=50</t>
        </r>
      </text>
    </comment>
    <comment ref="O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Coda=20
SVP NA=6</t>
        </r>
      </text>
    </comment>
    <comment ref="R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Navyug=50</t>
        </r>
      </text>
    </comment>
    <comment ref="S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BOR=30</t>
        </r>
      </text>
    </comment>
    <comment ref="T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Freedom=50</t>
        </r>
      </text>
    </comment>
    <comment ref="U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WOC=100</t>
        </r>
      </text>
    </comment>
    <comment ref="V6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Navyug School=10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Rahul S:</t>
        </r>
        <r>
          <rPr>
            <sz val="8"/>
            <color indexed="81"/>
            <rFont val="Tahoma"/>
            <family val="2"/>
          </rPr>
          <t xml:space="preserve">
With Wendy=200</t>
        </r>
      </text>
    </comment>
    <comment ref="H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Kachodi=18</t>
        </r>
      </text>
    </comment>
    <comment ref="I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With Gautam=50
Veg Roll=30</t>
        </r>
      </text>
    </comment>
    <comment ref="K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Gol Gappas=20</t>
        </r>
      </text>
    </comment>
    <comment ref="N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Kachodi=35</t>
        </r>
      </text>
    </comment>
    <comment ref="O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Green Tea w/Alka=93</t>
        </r>
      </text>
    </comment>
    <comment ref="Q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Veg Roll=50
Laddoo=10</t>
        </r>
      </text>
    </comment>
    <comment ref="R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Kurkure=5</t>
        </r>
      </text>
    </comment>
    <comment ref="T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Kachodi x2=36</t>
        </r>
      </text>
    </comment>
    <comment ref="U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From Kundan=-100</t>
        </r>
      </text>
    </comment>
    <comment ref="AF7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Potatoes=40
Party=700</t>
        </r>
      </text>
    </comment>
    <comment ref="I8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Mobile Bill=805</t>
        </r>
      </text>
    </comment>
    <comment ref="L8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Microsoft Keyboard=1520</t>
        </r>
      </text>
    </comment>
    <comment ref="M8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Brooklyn Bridge prints=30</t>
        </r>
      </text>
    </comment>
    <comment ref="F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Mixed Juice x2=130</t>
        </r>
      </text>
    </comment>
    <comment ref="G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Newspaper Bill=150
Butter=200</t>
        </r>
      </text>
    </comment>
    <comment ref="L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Dal Makhani=50
Flour for Mom=350</t>
        </r>
      </text>
    </comment>
    <comment ref="O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Fruits=100</t>
        </r>
      </text>
    </comment>
    <comment ref="P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TR Scoopies x 5=50</t>
        </r>
      </text>
    </comment>
    <comment ref="W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Petrol=100</t>
        </r>
      </text>
    </comment>
    <comment ref="AA9" authorId="0" shapeId="0">
      <text>
        <r>
          <rPr>
            <b/>
            <sz val="8"/>
            <color indexed="81"/>
            <rFont val="Tahoma"/>
            <family val="2"/>
          </rPr>
          <t>Rahul S:</t>
        </r>
        <r>
          <rPr>
            <sz val="8"/>
            <color indexed="81"/>
            <rFont val="Tahoma"/>
            <family val="2"/>
          </rPr>
          <t xml:space="preserve">
Milk=38</t>
        </r>
      </text>
    </comment>
    <comment ref="AE9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Aata=300</t>
        </r>
      </text>
    </comment>
    <comment ref="B10" authorId="0" shapeId="0">
      <text>
        <r>
          <rPr>
            <b/>
            <sz val="8"/>
            <color indexed="81"/>
            <rFont val="Tahoma"/>
            <family val="2"/>
          </rPr>
          <t>Rahul S:</t>
        </r>
        <r>
          <rPr>
            <sz val="8"/>
            <color indexed="81"/>
            <rFont val="Tahoma"/>
            <family val="2"/>
          </rPr>
          <t xml:space="preserve">
Bus to UCG=10
Bus from UCG=10
Petrol=200</t>
        </r>
      </text>
    </comment>
    <comment ref="C10" authorId="0" shapeId="0">
      <text>
        <r>
          <rPr>
            <b/>
            <sz val="8"/>
            <color indexed="81"/>
            <rFont val="Tahoma"/>
            <family val="2"/>
          </rPr>
          <t>Rahul S:</t>
        </r>
        <r>
          <rPr>
            <sz val="8"/>
            <color indexed="81"/>
            <rFont val="Tahoma"/>
            <family val="2"/>
          </rPr>
          <t xml:space="preserve">
Metro Recharge=100</t>
        </r>
      </text>
    </comment>
    <comment ref="E10" authorId="0" shapeId="0">
      <text>
        <r>
          <rPr>
            <b/>
            <sz val="8"/>
            <color indexed="81"/>
            <rFont val="Tahoma"/>
            <family val="2"/>
          </rPr>
          <t>Rahul S:</t>
        </r>
        <r>
          <rPr>
            <sz val="8"/>
            <color indexed="81"/>
            <rFont val="Tahoma"/>
            <family val="2"/>
          </rPr>
          <t xml:space="preserve">
Petrol=200</t>
        </r>
      </text>
    </comment>
    <comment ref="G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DC=5
Metro RC=100</t>
        </r>
      </text>
    </comment>
    <comment ref="J10" authorId="0" shapeId="0">
      <text>
        <r>
          <rPr>
            <b/>
            <sz val="8"/>
            <color indexed="81"/>
            <rFont val="Tahoma"/>
            <family val="2"/>
          </rPr>
          <t>Rahul S:</t>
        </r>
        <r>
          <rPr>
            <sz val="8"/>
            <color indexed="81"/>
            <rFont val="Tahoma"/>
            <family val="2"/>
          </rPr>
          <t xml:space="preserve">
Metro Recharge=100</t>
        </r>
      </text>
    </comment>
    <comment ref="K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UN=10</t>
        </r>
      </text>
    </comment>
    <comment ref="M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Metro R/c=200
594 to Jasola=5
Auto to Jamia=5</t>
        </r>
      </text>
    </comment>
    <comment ref="O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IIT to SE1=5
SE1 to IIT=5</t>
        </r>
      </text>
    </comment>
    <comment ref="P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Bus to UCG=20
Bus to UN=10</t>
        </r>
      </text>
    </comment>
    <comment ref="R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Metro Recharge=100</t>
        </r>
      </text>
    </comment>
    <comment ref="U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Auto to Nizamuddin=20
Auto to S Ex=50</t>
        </r>
      </text>
    </comment>
    <comment ref="V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Metro Recharge=200</t>
        </r>
      </text>
    </comment>
    <comment ref="AC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Viji to NP=10
NP to SVP=15
IIT to DM=15
DM to UN=5</t>
        </r>
      </text>
    </comment>
    <comment ref="AD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Petrol=100</t>
        </r>
      </text>
    </comment>
    <comment ref="AE10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Metro Recharge=200</t>
        </r>
      </text>
    </comment>
    <comment ref="I11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Gautam=30 from Sec 10</t>
        </r>
      </text>
    </comment>
    <comment ref="V11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To Sabu=50
From Kundan=-20</t>
        </r>
      </text>
    </comment>
    <comment ref="F12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Tiger Biscuit=10</t>
        </r>
      </text>
    </comment>
    <comment ref="V12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Chowmein=70
Water Bottle=20
Aloo Patty=20</t>
        </r>
      </text>
    </comment>
    <comment ref="AA12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Dosa=70
Parantha=20</t>
        </r>
      </text>
    </comment>
    <comment ref="G13" authorId="0" shapeId="0">
      <text>
        <r>
          <rPr>
            <b/>
            <sz val="8"/>
            <color indexed="81"/>
            <rFont val="Tahoma"/>
            <charset val="1"/>
          </rPr>
          <t>Rahul S:</t>
        </r>
        <r>
          <rPr>
            <sz val="8"/>
            <color indexed="81"/>
            <rFont val="Tahoma"/>
            <charset val="1"/>
          </rPr>
          <t xml:space="preserve">
NA Delhi Convention=500</t>
        </r>
      </text>
    </comment>
  </commentList>
</comments>
</file>

<file path=xl/sharedStrings.xml><?xml version="1.0" encoding="utf-8"?>
<sst xmlns="http://schemas.openxmlformats.org/spreadsheetml/2006/main" count="196" uniqueCount="27">
  <si>
    <t>Category Total</t>
  </si>
  <si>
    <t>Planned Total</t>
  </si>
  <si>
    <t>Grooming</t>
  </si>
  <si>
    <t>Health and Hygeine</t>
  </si>
  <si>
    <t>Snack</t>
  </si>
  <si>
    <t>Socializing</t>
  </si>
  <si>
    <t>Tau</t>
  </si>
  <si>
    <t>Misc</t>
  </si>
  <si>
    <t>NA Meeting</t>
  </si>
  <si>
    <t>After Meeting</t>
  </si>
  <si>
    <t>Transport</t>
  </si>
  <si>
    <t>Lending</t>
  </si>
  <si>
    <t>Food</t>
  </si>
  <si>
    <t>Leisure</t>
  </si>
  <si>
    <t>Total</t>
  </si>
  <si>
    <t>Salary</t>
  </si>
  <si>
    <t>Fixed</t>
  </si>
  <si>
    <t>Amount</t>
  </si>
  <si>
    <t>Rent</t>
  </si>
  <si>
    <t>Recorded Savings</t>
  </si>
  <si>
    <t>Mobile</t>
  </si>
  <si>
    <t>Projected Savings</t>
  </si>
  <si>
    <t>Savings</t>
  </si>
  <si>
    <t>Tracker</t>
  </si>
  <si>
    <t>Grooming and Health</t>
  </si>
  <si>
    <t>Business</t>
  </si>
  <si>
    <t>Domestic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</si>
</sst>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2" xfId="0" applyFill="1" applyBorder="1"/>
    <xf numFmtId="0" fontId="0" fillId="0" borderId="0" xfId="0" applyFill="1" applyBorder="1"/>
    <xf numFmtId="0" fontId="0" fillId="2" borderId="3" xfId="0" applyFill="1" applyBorder="1"/>
    <xf numFmtId="0" fontId="0" fillId="2" borderId="1" xfId="0" applyFill="1" applyBorder="1"/>
    <xf numFmtId="0" fontId="0" fillId="0" borderId="0" xfId="0" applyBorder="1"/>
    <xf numFmtId="0" fontId="0" fillId="2" borderId="4" xfId="0" applyFill="1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Fill="1"/>
    <xf numFmtId="0" fontId="0" fillId="3" borderId="4" xfId="0" applyFill="1" applyBorder="1"/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3" borderId="6" xfId="0" applyFill="1" applyBorder="1"/>
    <xf numFmtId="0" fontId="0" fillId="0" borderId="0" xfId="0" applyAlignment="1"/>
    <xf numFmtId="0" fontId="6" fillId="0" borderId="0" xfId="1" applyAlignment="1" applyProtection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Weeky%20Tracker.xlsx" TargetMode="Externa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Weeky%20Tracker.xlsx" TargetMode="Externa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Weeky%20Tracker.xlsx" TargetMode="Externa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Weeky%20Tracker.xlsx" TargetMode="External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1"/>
  <sheetViews>
    <sheetView tabSelected="1" workbookViewId="0">
      <pane xSplit="1" topLeftCell="S1" activePane="topRight" state="frozen"/>
      <selection pane="topRight" activeCell="B2" sqref="B2:AF13"/>
    </sheetView>
  </sheetViews>
  <sheetFormatPr defaultRowHeight="15" x14ac:dyDescent="0.25"/>
  <cols>
    <col min="1" max="1" width="23.5703125" customWidth="1"/>
    <col min="3" max="3" width="9.85546875" customWidth="1"/>
    <col min="33" max="33" width="17.85546875" customWidth="1"/>
    <col min="34" max="34" width="17.42578125" customWidth="1"/>
  </cols>
  <sheetData>
    <row r="1" spans="1:34" x14ac:dyDescent="0.25">
      <c r="A1" s="1"/>
      <c r="B1" s="2">
        <v>41639</v>
      </c>
      <c r="C1" s="2">
        <v>41640</v>
      </c>
      <c r="D1" s="2">
        <v>41641</v>
      </c>
      <c r="E1" s="2">
        <v>41642</v>
      </c>
      <c r="F1" s="2">
        <v>41643</v>
      </c>
      <c r="G1" s="2">
        <v>41644</v>
      </c>
      <c r="H1" s="2">
        <v>41645</v>
      </c>
      <c r="I1" s="2">
        <v>41646</v>
      </c>
      <c r="J1" s="2">
        <v>41647</v>
      </c>
      <c r="K1" s="2">
        <v>41648</v>
      </c>
      <c r="L1" s="2">
        <v>41649</v>
      </c>
      <c r="M1" s="2">
        <v>41650</v>
      </c>
      <c r="N1" s="2">
        <v>41651</v>
      </c>
      <c r="O1" s="2">
        <v>41652</v>
      </c>
      <c r="P1" s="2">
        <v>41653</v>
      </c>
      <c r="Q1" s="2">
        <v>41654</v>
      </c>
      <c r="R1" s="2">
        <v>41655</v>
      </c>
      <c r="S1" s="2">
        <v>41656</v>
      </c>
      <c r="T1" s="2">
        <v>41657</v>
      </c>
      <c r="U1" s="2">
        <v>41658</v>
      </c>
      <c r="V1" s="2">
        <v>41659</v>
      </c>
      <c r="W1" s="2">
        <v>41660</v>
      </c>
      <c r="X1" s="2">
        <v>41661</v>
      </c>
      <c r="Y1" s="2">
        <v>41662</v>
      </c>
      <c r="Z1" s="2">
        <v>41663</v>
      </c>
      <c r="AA1" s="2">
        <v>41664</v>
      </c>
      <c r="AB1" s="2">
        <v>41665</v>
      </c>
      <c r="AC1" s="2">
        <v>41666</v>
      </c>
      <c r="AD1" s="2">
        <v>41667</v>
      </c>
      <c r="AE1" s="2">
        <v>41668</v>
      </c>
      <c r="AF1" s="2">
        <v>41669</v>
      </c>
      <c r="AG1" s="3" t="s">
        <v>0</v>
      </c>
      <c r="AH1" s="3" t="s">
        <v>1</v>
      </c>
    </row>
    <row r="2" spans="1:34" x14ac:dyDescent="0.25">
      <c r="A2" s="4" t="s">
        <v>2</v>
      </c>
      <c r="B2" s="5"/>
      <c r="C2">
        <f>30+40+230</f>
        <v>300</v>
      </c>
      <c r="AG2" s="1">
        <f>SUM(B2:AF2)</f>
        <v>300</v>
      </c>
      <c r="AH2" s="1">
        <f>700</f>
        <v>700</v>
      </c>
    </row>
    <row r="3" spans="1:34" x14ac:dyDescent="0.25">
      <c r="A3" s="6" t="s">
        <v>3</v>
      </c>
      <c r="G3">
        <f>60</f>
        <v>60</v>
      </c>
      <c r="K3">
        <f>140</f>
        <v>140</v>
      </c>
      <c r="L3">
        <f>125</f>
        <v>125</v>
      </c>
      <c r="M3">
        <f>150</f>
        <v>150</v>
      </c>
      <c r="W3">
        <f>109</f>
        <v>109</v>
      </c>
      <c r="X3">
        <f>10</f>
        <v>10</v>
      </c>
      <c r="Y3">
        <f>252</f>
        <v>252</v>
      </c>
      <c r="AD3">
        <f>20</f>
        <v>20</v>
      </c>
      <c r="AG3" s="1">
        <f t="shared" ref="AG3:AG13" si="0">SUM(B3:AF3)</f>
        <v>866</v>
      </c>
      <c r="AH3" s="1">
        <f>220+100+200+150+1500+300</f>
        <v>2470</v>
      </c>
    </row>
    <row r="4" spans="1:34" x14ac:dyDescent="0.25">
      <c r="A4" s="7" t="s">
        <v>4</v>
      </c>
      <c r="C4">
        <f>80</f>
        <v>80</v>
      </c>
      <c r="D4">
        <f>10</f>
        <v>10</v>
      </c>
      <c r="E4">
        <f>7+10</f>
        <v>17</v>
      </c>
      <c r="F4">
        <f>8+15</f>
        <v>23</v>
      </c>
      <c r="H4">
        <f>8+22+20</f>
        <v>50</v>
      </c>
      <c r="I4">
        <f>1+10</f>
        <v>11</v>
      </c>
      <c r="J4">
        <f>10</f>
        <v>10</v>
      </c>
      <c r="K4">
        <f>10+20</f>
        <v>30</v>
      </c>
      <c r="L4">
        <f>10+10+30</f>
        <v>50</v>
      </c>
      <c r="O4">
        <f>25+15</f>
        <v>40</v>
      </c>
      <c r="P4">
        <f>15</f>
        <v>15</v>
      </c>
      <c r="Q4">
        <f>10</f>
        <v>10</v>
      </c>
      <c r="U4">
        <f>10+10</f>
        <v>20</v>
      </c>
      <c r="V4">
        <f>10+12+55</f>
        <v>77</v>
      </c>
      <c r="W4">
        <f>105</f>
        <v>105</v>
      </c>
      <c r="X4" s="8"/>
      <c r="Y4" s="8">
        <f>13+4</f>
        <v>17</v>
      </c>
      <c r="Z4">
        <f>8+20</f>
        <v>28</v>
      </c>
      <c r="AB4" s="8"/>
      <c r="AC4">
        <f>10+35</f>
        <v>45</v>
      </c>
      <c r="AE4">
        <f>10+25</f>
        <v>35</v>
      </c>
      <c r="AF4">
        <f>10+25</f>
        <v>35</v>
      </c>
      <c r="AG4" s="1">
        <f t="shared" si="0"/>
        <v>708</v>
      </c>
      <c r="AH4" s="1">
        <v>700</v>
      </c>
    </row>
    <row r="5" spans="1:34" x14ac:dyDescent="0.25">
      <c r="A5" s="7" t="s">
        <v>5</v>
      </c>
      <c r="B5">
        <f>500+300</f>
        <v>800</v>
      </c>
      <c r="C5">
        <f>1120</f>
        <v>1120</v>
      </c>
      <c r="E5">
        <f>50+70</f>
        <v>120</v>
      </c>
      <c r="F5">
        <f>8</f>
        <v>8</v>
      </c>
      <c r="G5" s="18"/>
      <c r="N5">
        <f>352</f>
        <v>352</v>
      </c>
      <c r="V5" s="8"/>
      <c r="W5" s="8"/>
      <c r="X5" s="8"/>
      <c r="Y5" s="8"/>
      <c r="AB5">
        <f>500</f>
        <v>500</v>
      </c>
      <c r="AG5" s="1">
        <f t="shared" si="0"/>
        <v>2900</v>
      </c>
      <c r="AH5" s="1">
        <v>2000</v>
      </c>
    </row>
    <row r="6" spans="1:34" x14ac:dyDescent="0.25">
      <c r="A6" s="7" t="s">
        <v>6</v>
      </c>
      <c r="D6">
        <f>5</f>
        <v>5</v>
      </c>
      <c r="H6">
        <f>54</f>
        <v>54</v>
      </c>
      <c r="V6" s="8"/>
      <c r="W6" s="8">
        <f>5</f>
        <v>5</v>
      </c>
      <c r="X6" s="8">
        <f>20</f>
        <v>20</v>
      </c>
      <c r="Y6">
        <f>46</f>
        <v>46</v>
      </c>
      <c r="AC6">
        <f>10</f>
        <v>10</v>
      </c>
      <c r="AE6">
        <f>10</f>
        <v>10</v>
      </c>
      <c r="AG6" s="1">
        <f t="shared" si="0"/>
        <v>150</v>
      </c>
      <c r="AH6" s="1">
        <v>100</v>
      </c>
    </row>
    <row r="7" spans="1:34" x14ac:dyDescent="0.25">
      <c r="A7" s="7" t="s">
        <v>7</v>
      </c>
      <c r="B7">
        <f>50+30</f>
        <v>80</v>
      </c>
      <c r="G7">
        <f>100</f>
        <v>100</v>
      </c>
      <c r="Q7">
        <f>10+10</f>
        <v>20</v>
      </c>
      <c r="V7" s="8"/>
      <c r="W7" s="8"/>
      <c r="X7" s="8"/>
      <c r="Y7" s="8"/>
      <c r="AC7">
        <f>100</f>
        <v>100</v>
      </c>
      <c r="AG7" s="1">
        <f t="shared" si="0"/>
        <v>300</v>
      </c>
      <c r="AH7" s="1">
        <f>1000+400</f>
        <v>1400</v>
      </c>
    </row>
    <row r="8" spans="1:34" x14ac:dyDescent="0.25">
      <c r="A8" s="7" t="s">
        <v>8</v>
      </c>
      <c r="E8">
        <f>50</f>
        <v>50</v>
      </c>
      <c r="G8">
        <f>50+50</f>
        <v>100</v>
      </c>
      <c r="N8">
        <f>50</f>
        <v>50</v>
      </c>
      <c r="P8">
        <f>50</f>
        <v>50</v>
      </c>
      <c r="R8">
        <f>200</f>
        <v>200</v>
      </c>
      <c r="V8" s="8"/>
      <c r="W8" s="8"/>
      <c r="X8" s="8"/>
      <c r="Y8" s="8"/>
      <c r="AB8">
        <f>50</f>
        <v>50</v>
      </c>
      <c r="AD8">
        <f>50</f>
        <v>50</v>
      </c>
      <c r="AG8" s="1">
        <f t="shared" si="0"/>
        <v>550</v>
      </c>
      <c r="AH8" s="1">
        <f>300</f>
        <v>300</v>
      </c>
    </row>
    <row r="9" spans="1:34" x14ac:dyDescent="0.25">
      <c r="A9" s="7" t="s">
        <v>9</v>
      </c>
      <c r="V9" s="8"/>
      <c r="W9" s="8"/>
      <c r="X9" s="8"/>
      <c r="Y9" s="8"/>
      <c r="AD9">
        <f>60</f>
        <v>60</v>
      </c>
      <c r="AG9" s="1">
        <f t="shared" si="0"/>
        <v>60</v>
      </c>
      <c r="AH9" s="1">
        <f>300</f>
        <v>300</v>
      </c>
    </row>
    <row r="10" spans="1:34" x14ac:dyDescent="0.25">
      <c r="A10" s="7" t="s">
        <v>10</v>
      </c>
      <c r="B10">
        <f>100</f>
        <v>100</v>
      </c>
      <c r="C10">
        <f>10</f>
        <v>10</v>
      </c>
      <c r="G10">
        <f>15</f>
        <v>15</v>
      </c>
      <c r="N10">
        <f>10</f>
        <v>10</v>
      </c>
      <c r="Q10">
        <f>100+75+70</f>
        <v>245</v>
      </c>
      <c r="U10">
        <f>100+80+100+10+10+20</f>
        <v>320</v>
      </c>
      <c r="V10" s="8"/>
      <c r="W10" s="8"/>
      <c r="X10" s="8"/>
      <c r="Y10" s="8"/>
      <c r="AD10">
        <f>100</f>
        <v>100</v>
      </c>
      <c r="AG10" s="1">
        <f t="shared" si="0"/>
        <v>800</v>
      </c>
      <c r="AH10" s="1">
        <f>1000</f>
        <v>1000</v>
      </c>
    </row>
    <row r="11" spans="1:34" x14ac:dyDescent="0.25">
      <c r="A11" s="7" t="s">
        <v>11</v>
      </c>
      <c r="C11">
        <f>110</f>
        <v>110</v>
      </c>
      <c r="K11">
        <f>-500</f>
        <v>-500</v>
      </c>
      <c r="L11">
        <f>500</f>
        <v>500</v>
      </c>
      <c r="M11">
        <f>-500</f>
        <v>-500</v>
      </c>
      <c r="N11">
        <f>-500</f>
        <v>-500</v>
      </c>
      <c r="O11">
        <f>500</f>
        <v>500</v>
      </c>
      <c r="P11">
        <f>500</f>
        <v>500</v>
      </c>
      <c r="AG11" s="1">
        <f t="shared" si="0"/>
        <v>110</v>
      </c>
      <c r="AH11" s="1">
        <f>-4250-700-1000+255</f>
        <v>-5695</v>
      </c>
    </row>
    <row r="12" spans="1:34" x14ac:dyDescent="0.25">
      <c r="A12" s="7" t="s">
        <v>12</v>
      </c>
      <c r="M12">
        <f>40+20</f>
        <v>60</v>
      </c>
      <c r="N12">
        <f>20+15</f>
        <v>35</v>
      </c>
      <c r="O12">
        <f>50</f>
        <v>50</v>
      </c>
      <c r="Q12">
        <f>30+20+164</f>
        <v>214</v>
      </c>
      <c r="W12">
        <f>45+15</f>
        <v>60</v>
      </c>
      <c r="Z12">
        <f>35</f>
        <v>35</v>
      </c>
      <c r="AA12">
        <f>40</f>
        <v>40</v>
      </c>
      <c r="AB12">
        <f>130</f>
        <v>130</v>
      </c>
      <c r="AC12">
        <f>45</f>
        <v>45</v>
      </c>
      <c r="AG12" s="1">
        <f t="shared" si="0"/>
        <v>669</v>
      </c>
      <c r="AH12" s="1">
        <f>500</f>
        <v>500</v>
      </c>
    </row>
    <row r="13" spans="1:34" x14ac:dyDescent="0.25">
      <c r="A13" s="9" t="s">
        <v>13</v>
      </c>
      <c r="M13">
        <f>130</f>
        <v>130</v>
      </c>
      <c r="P13">
        <f>555</f>
        <v>555</v>
      </c>
      <c r="AD13">
        <f>140</f>
        <v>140</v>
      </c>
      <c r="AG13" s="1">
        <f t="shared" si="0"/>
        <v>825</v>
      </c>
      <c r="AH13" s="1">
        <f>1000</f>
        <v>1000</v>
      </c>
    </row>
    <row r="14" spans="1:34" s="12" customFormat="1" x14ac:dyDescent="0.25">
      <c r="A14" s="10" t="s">
        <v>14</v>
      </c>
      <c r="B14" s="11">
        <f>SUM(B2:B13)</f>
        <v>980</v>
      </c>
      <c r="C14" s="11">
        <f t="shared" ref="C14:AF14" si="1">SUM(C2:C13)</f>
        <v>1620</v>
      </c>
      <c r="D14" s="11">
        <f t="shared" si="1"/>
        <v>15</v>
      </c>
      <c r="E14" s="11">
        <f t="shared" si="1"/>
        <v>187</v>
      </c>
      <c r="F14" s="11">
        <f t="shared" si="1"/>
        <v>31</v>
      </c>
      <c r="G14" s="11">
        <f t="shared" si="1"/>
        <v>275</v>
      </c>
      <c r="H14" s="11">
        <f t="shared" si="1"/>
        <v>104</v>
      </c>
      <c r="I14" s="11">
        <f t="shared" si="1"/>
        <v>11</v>
      </c>
      <c r="J14" s="11">
        <f t="shared" si="1"/>
        <v>10</v>
      </c>
      <c r="K14" s="11">
        <f t="shared" si="1"/>
        <v>-330</v>
      </c>
      <c r="L14" s="11">
        <f t="shared" si="1"/>
        <v>675</v>
      </c>
      <c r="M14" s="11">
        <f t="shared" si="1"/>
        <v>-160</v>
      </c>
      <c r="N14" s="11">
        <f t="shared" si="1"/>
        <v>-53</v>
      </c>
      <c r="O14" s="11">
        <f t="shared" si="1"/>
        <v>590</v>
      </c>
      <c r="P14" s="11">
        <f t="shared" si="1"/>
        <v>1120</v>
      </c>
      <c r="Q14" s="11">
        <f t="shared" si="1"/>
        <v>489</v>
      </c>
      <c r="R14" s="11">
        <f t="shared" si="1"/>
        <v>200</v>
      </c>
      <c r="S14" s="11">
        <f t="shared" si="1"/>
        <v>0</v>
      </c>
      <c r="T14" s="11">
        <f t="shared" si="1"/>
        <v>0</v>
      </c>
      <c r="U14" s="11">
        <f t="shared" si="1"/>
        <v>340</v>
      </c>
      <c r="V14" s="11">
        <f t="shared" si="1"/>
        <v>77</v>
      </c>
      <c r="W14" s="11">
        <f>SUM(W3:W13)</f>
        <v>279</v>
      </c>
      <c r="X14" s="11">
        <f t="shared" si="1"/>
        <v>30</v>
      </c>
      <c r="Y14" s="11">
        <f t="shared" si="1"/>
        <v>315</v>
      </c>
      <c r="Z14" s="11">
        <f t="shared" si="1"/>
        <v>63</v>
      </c>
      <c r="AA14" s="11">
        <f t="shared" si="1"/>
        <v>40</v>
      </c>
      <c r="AB14" s="11">
        <f t="shared" si="1"/>
        <v>680</v>
      </c>
      <c r="AC14" s="11">
        <f t="shared" si="1"/>
        <v>200</v>
      </c>
      <c r="AD14" s="11">
        <f t="shared" si="1"/>
        <v>370</v>
      </c>
      <c r="AE14" s="11">
        <f t="shared" si="1"/>
        <v>45</v>
      </c>
      <c r="AF14" s="11">
        <f t="shared" si="1"/>
        <v>35</v>
      </c>
      <c r="AG14" s="11">
        <f>SUM(AG2:AG5,AG7:AG13)</f>
        <v>8088</v>
      </c>
      <c r="AH14" s="11">
        <f>SUM(AH2:AH5,AH7:AH13)</f>
        <v>4675</v>
      </c>
    </row>
    <row r="15" spans="1:34" x14ac:dyDescent="0.25">
      <c r="A15" s="13"/>
    </row>
    <row r="16" spans="1:34" ht="15.75" thickBot="1" x14ac:dyDescent="0.3">
      <c r="A16" s="14" t="s">
        <v>15</v>
      </c>
      <c r="C16" s="15" t="s">
        <v>16</v>
      </c>
      <c r="D16" s="15" t="s">
        <v>17</v>
      </c>
    </row>
    <row r="17" spans="1:4" ht="15.75" thickBot="1" x14ac:dyDescent="0.3">
      <c r="A17" s="16">
        <v>19064</v>
      </c>
      <c r="C17" s="1" t="s">
        <v>18</v>
      </c>
      <c r="D17" s="1">
        <v>6000</v>
      </c>
    </row>
    <row r="18" spans="1:4" ht="15.75" thickBot="1" x14ac:dyDescent="0.3">
      <c r="A18" s="17" t="s">
        <v>19</v>
      </c>
      <c r="C18" s="1" t="s">
        <v>20</v>
      </c>
      <c r="D18" s="1">
        <f>786+98+14</f>
        <v>898</v>
      </c>
    </row>
    <row r="19" spans="1:4" ht="15.75" thickBot="1" x14ac:dyDescent="0.3">
      <c r="A19" s="16">
        <f>A17-D21-AG14</f>
        <v>78</v>
      </c>
      <c r="C19" s="1" t="s">
        <v>22</v>
      </c>
      <c r="D19" s="1">
        <v>4000</v>
      </c>
    </row>
    <row r="20" spans="1:4" ht="15.75" thickBot="1" x14ac:dyDescent="0.3">
      <c r="A20" s="17" t="s">
        <v>21</v>
      </c>
      <c r="C20" s="1" t="s">
        <v>6</v>
      </c>
      <c r="D20" s="1">
        <v>0</v>
      </c>
    </row>
    <row r="21" spans="1:4" ht="15.75" thickBot="1" x14ac:dyDescent="0.3">
      <c r="A21" s="16">
        <f>A17-D21-AH14</f>
        <v>3491</v>
      </c>
      <c r="C21" s="11" t="s">
        <v>14</v>
      </c>
      <c r="D21" s="11">
        <f>SUM(D17:D20)</f>
        <v>10898</v>
      </c>
    </row>
  </sheetData>
  <customSheetViews>
    <customSheetView guid="{034CB6A1-024A-4E1B-8E88-EEF2FEA56B01}">
      <pane xSplit="1" topLeftCell="U1" activePane="topRight" state="frozen"/>
      <selection pane="topRight" activeCell="A21" sqref="A21"/>
      <pageMargins left="0.7" right="0.7" top="0.75" bottom="0.75" header="0.3" footer="0.3"/>
      <pageSetup paperSize="9" orientation="portrait" verticalDpi="0" r:id="rId1"/>
    </customSheetView>
  </customSheetViews>
  <pageMargins left="0.7" right="0.7" top="0.75" bottom="0.75" header="0.3" footer="0.3"/>
  <pageSetup paperSize="9" orientation="portrait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1"/>
  <sheetViews>
    <sheetView workbookViewId="0">
      <pane xSplit="1" topLeftCell="T1" activePane="topRight" state="frozen"/>
      <selection pane="topRight" activeCell="A16" sqref="A16"/>
    </sheetView>
  </sheetViews>
  <sheetFormatPr defaultRowHeight="15" x14ac:dyDescent="0.25"/>
  <cols>
    <col min="1" max="1" width="23.5703125" customWidth="1"/>
    <col min="3" max="3" width="9.85546875" customWidth="1"/>
    <col min="31" max="31" width="17.85546875" customWidth="1"/>
    <col min="32" max="32" width="17.42578125" customWidth="1"/>
  </cols>
  <sheetData>
    <row r="1" spans="1:32" x14ac:dyDescent="0.25">
      <c r="A1" s="1"/>
      <c r="B1" s="2">
        <v>41670</v>
      </c>
      <c r="C1" s="2">
        <v>41671</v>
      </c>
      <c r="D1" s="2">
        <v>41672</v>
      </c>
      <c r="E1" s="2">
        <v>41673</v>
      </c>
      <c r="F1" s="2">
        <v>41674</v>
      </c>
      <c r="G1" s="2">
        <v>41675</v>
      </c>
      <c r="H1" s="2">
        <v>41676</v>
      </c>
      <c r="I1" s="2">
        <v>41677</v>
      </c>
      <c r="J1" s="2">
        <v>41678</v>
      </c>
      <c r="K1" s="2">
        <v>41679</v>
      </c>
      <c r="L1" s="2">
        <v>41680</v>
      </c>
      <c r="M1" s="2">
        <v>41681</v>
      </c>
      <c r="N1" s="2">
        <v>41682</v>
      </c>
      <c r="O1" s="2">
        <v>41683</v>
      </c>
      <c r="P1" s="2">
        <v>41684</v>
      </c>
      <c r="Q1" s="2">
        <v>41685</v>
      </c>
      <c r="R1" s="2">
        <v>41686</v>
      </c>
      <c r="S1" s="2">
        <v>41687</v>
      </c>
      <c r="T1" s="2">
        <v>41688</v>
      </c>
      <c r="U1" s="2">
        <v>41689</v>
      </c>
      <c r="V1" s="2">
        <v>41690</v>
      </c>
      <c r="W1" s="2">
        <v>41691</v>
      </c>
      <c r="X1" s="2">
        <v>41692</v>
      </c>
      <c r="Y1" s="2">
        <v>41693</v>
      </c>
      <c r="Z1" s="2">
        <v>41694</v>
      </c>
      <c r="AA1" s="2">
        <v>41695</v>
      </c>
      <c r="AB1" s="2">
        <v>41696</v>
      </c>
      <c r="AC1" s="2">
        <v>41697</v>
      </c>
      <c r="AD1" s="2">
        <v>41698</v>
      </c>
      <c r="AE1" s="3" t="s">
        <v>0</v>
      </c>
      <c r="AF1" s="3" t="s">
        <v>1</v>
      </c>
    </row>
    <row r="2" spans="1:32" x14ac:dyDescent="0.25">
      <c r="A2" s="4" t="s">
        <v>2</v>
      </c>
      <c r="B2" s="5"/>
      <c r="D2">
        <f>145</f>
        <v>145</v>
      </c>
      <c r="J2">
        <f>300</f>
        <v>300</v>
      </c>
      <c r="V2">
        <f>23</f>
        <v>23</v>
      </c>
      <c r="AE2" s="1">
        <f t="shared" ref="AE2:AE13" si="0">SUM(B2:AD2)</f>
        <v>468</v>
      </c>
      <c r="AF2" s="1">
        <f>500</f>
        <v>500</v>
      </c>
    </row>
    <row r="3" spans="1:32" x14ac:dyDescent="0.25">
      <c r="A3" s="6" t="s">
        <v>3</v>
      </c>
      <c r="I3">
        <f>55</f>
        <v>55</v>
      </c>
      <c r="K3">
        <f>320+300</f>
        <v>620</v>
      </c>
      <c r="L3">
        <f>246</f>
        <v>246</v>
      </c>
      <c r="P3">
        <f>50+2</f>
        <v>52</v>
      </c>
      <c r="Q3">
        <f>175</f>
        <v>175</v>
      </c>
      <c r="R3">
        <f>30+150</f>
        <v>180</v>
      </c>
      <c r="U3">
        <f>50</f>
        <v>50</v>
      </c>
      <c r="AA3">
        <f>95</f>
        <v>95</v>
      </c>
      <c r="AE3" s="1">
        <f t="shared" si="0"/>
        <v>1473</v>
      </c>
      <c r="AF3" s="1">
        <f>100+200+200+500</f>
        <v>1000</v>
      </c>
    </row>
    <row r="4" spans="1:32" x14ac:dyDescent="0.25">
      <c r="A4" s="7" t="s">
        <v>4</v>
      </c>
      <c r="B4">
        <f>10+30</f>
        <v>40</v>
      </c>
      <c r="C4">
        <f>10+10</f>
        <v>20</v>
      </c>
      <c r="E4">
        <f>10</f>
        <v>10</v>
      </c>
      <c r="F4">
        <f>130+65</f>
        <v>195</v>
      </c>
      <c r="I4">
        <f>40</f>
        <v>40</v>
      </c>
      <c r="J4">
        <f>164</f>
        <v>164</v>
      </c>
      <c r="L4">
        <f>10</f>
        <v>10</v>
      </c>
      <c r="N4">
        <f>10+20</f>
        <v>30</v>
      </c>
      <c r="O4">
        <f>10</f>
        <v>10</v>
      </c>
      <c r="P4">
        <f>10</f>
        <v>10</v>
      </c>
      <c r="Q4">
        <f>20+10</f>
        <v>30</v>
      </c>
      <c r="S4">
        <f>35+25+25</f>
        <v>85</v>
      </c>
      <c r="U4">
        <f>10+10+16+5</f>
        <v>41</v>
      </c>
      <c r="V4">
        <f>10+20+25</f>
        <v>55</v>
      </c>
      <c r="W4">
        <f>10+20+10</f>
        <v>40</v>
      </c>
      <c r="X4" s="8">
        <f>25</f>
        <v>25</v>
      </c>
      <c r="Y4" s="8">
        <f>10+20</f>
        <v>30</v>
      </c>
      <c r="Z4">
        <f>20+20</f>
        <v>40</v>
      </c>
      <c r="AB4" s="8">
        <f>20+10+10</f>
        <v>40</v>
      </c>
      <c r="AC4">
        <f>20+8+30</f>
        <v>58</v>
      </c>
      <c r="AE4" s="1">
        <f t="shared" si="0"/>
        <v>973</v>
      </c>
      <c r="AF4" s="1">
        <f>700</f>
        <v>700</v>
      </c>
    </row>
    <row r="5" spans="1:32" x14ac:dyDescent="0.25">
      <c r="A5" s="7" t="s">
        <v>5</v>
      </c>
      <c r="G5" s="18"/>
      <c r="I5">
        <f>40</f>
        <v>40</v>
      </c>
      <c r="L5">
        <f>35+130</f>
        <v>165</v>
      </c>
      <c r="V5" s="8"/>
      <c r="W5" s="8"/>
      <c r="X5" s="8"/>
      <c r="Y5" s="8"/>
      <c r="AA5">
        <f>27+60</f>
        <v>87</v>
      </c>
      <c r="AC5">
        <f>8</f>
        <v>8</v>
      </c>
      <c r="AE5" s="1">
        <f t="shared" si="0"/>
        <v>300</v>
      </c>
      <c r="AF5" s="1">
        <f>1000</f>
        <v>1000</v>
      </c>
    </row>
    <row r="6" spans="1:32" x14ac:dyDescent="0.25">
      <c r="A6" s="7" t="s">
        <v>6</v>
      </c>
      <c r="C6">
        <f>50</f>
        <v>50</v>
      </c>
      <c r="V6" s="8"/>
      <c r="W6" s="8"/>
      <c r="X6" s="8">
        <f>100</f>
        <v>100</v>
      </c>
      <c r="AE6" s="1">
        <f t="shared" si="0"/>
        <v>150</v>
      </c>
      <c r="AF6" s="1">
        <v>100</v>
      </c>
    </row>
    <row r="7" spans="1:32" x14ac:dyDescent="0.25">
      <c r="A7" s="7" t="s">
        <v>7</v>
      </c>
      <c r="C7">
        <f>40</f>
        <v>40</v>
      </c>
      <c r="J7">
        <f>150</f>
        <v>150</v>
      </c>
      <c r="V7" s="8"/>
      <c r="W7" s="8">
        <f>12</f>
        <v>12</v>
      </c>
      <c r="X7" s="8"/>
      <c r="Y7" s="8"/>
      <c r="AE7" s="1">
        <f t="shared" si="0"/>
        <v>202</v>
      </c>
      <c r="AF7" s="1">
        <f>100+400+200</f>
        <v>700</v>
      </c>
    </row>
    <row r="8" spans="1:32" x14ac:dyDescent="0.25">
      <c r="A8" s="7" t="s">
        <v>8</v>
      </c>
      <c r="D8">
        <f>40</f>
        <v>40</v>
      </c>
      <c r="E8">
        <f>20</f>
        <v>20</v>
      </c>
      <c r="F8">
        <f>20</f>
        <v>20</v>
      </c>
      <c r="H8">
        <f>20</f>
        <v>20</v>
      </c>
      <c r="I8">
        <f>20</f>
        <v>20</v>
      </c>
      <c r="M8">
        <f>20</f>
        <v>20</v>
      </c>
      <c r="R8">
        <f>20</f>
        <v>20</v>
      </c>
      <c r="T8">
        <f>20</f>
        <v>20</v>
      </c>
      <c r="V8" s="8"/>
      <c r="W8" s="8"/>
      <c r="X8" s="8"/>
      <c r="Y8" s="8">
        <f>3</f>
        <v>3</v>
      </c>
      <c r="AA8">
        <f>3</f>
        <v>3</v>
      </c>
      <c r="AE8" s="1">
        <f t="shared" si="0"/>
        <v>186</v>
      </c>
      <c r="AF8" s="1">
        <v>200</v>
      </c>
    </row>
    <row r="9" spans="1:32" x14ac:dyDescent="0.25">
      <c r="A9" s="7" t="s">
        <v>9</v>
      </c>
      <c r="D9">
        <f>15</f>
        <v>15</v>
      </c>
      <c r="V9" s="8"/>
      <c r="W9" s="8"/>
      <c r="X9" s="8"/>
      <c r="Y9" s="8"/>
      <c r="AE9" s="1">
        <f t="shared" si="0"/>
        <v>15</v>
      </c>
      <c r="AF9" s="1">
        <f>200</f>
        <v>200</v>
      </c>
    </row>
    <row r="10" spans="1:32" x14ac:dyDescent="0.25">
      <c r="A10" s="7" t="s">
        <v>10</v>
      </c>
      <c r="C10">
        <f>15</f>
        <v>15</v>
      </c>
      <c r="E10">
        <f>25</f>
        <v>25</v>
      </c>
      <c r="F10">
        <f>56+15</f>
        <v>71</v>
      </c>
      <c r="H10">
        <f>100</f>
        <v>100</v>
      </c>
      <c r="K10">
        <f>45+100</f>
        <v>145</v>
      </c>
      <c r="L10">
        <f>40</f>
        <v>40</v>
      </c>
      <c r="R10">
        <f>100</f>
        <v>100</v>
      </c>
      <c r="V10" s="8"/>
      <c r="W10" s="8"/>
      <c r="X10" s="8"/>
      <c r="Y10" s="8">
        <f>100</f>
        <v>100</v>
      </c>
      <c r="AA10">
        <f>20</f>
        <v>20</v>
      </c>
      <c r="AE10" s="1">
        <f t="shared" si="0"/>
        <v>616</v>
      </c>
      <c r="AF10" s="1">
        <f>1000</f>
        <v>1000</v>
      </c>
    </row>
    <row r="11" spans="1:32" x14ac:dyDescent="0.25">
      <c r="A11" s="7" t="s">
        <v>11</v>
      </c>
      <c r="B11">
        <f>-1000</f>
        <v>-1000</v>
      </c>
      <c r="C11">
        <f>-3500</f>
        <v>-3500</v>
      </c>
      <c r="Q11">
        <f>200</f>
        <v>200</v>
      </c>
      <c r="V11">
        <f>-200+350</f>
        <v>150</v>
      </c>
      <c r="W11">
        <f>-200-350+200</f>
        <v>-350</v>
      </c>
      <c r="AE11" s="1">
        <f t="shared" si="0"/>
        <v>-4500</v>
      </c>
      <c r="AF11" s="1">
        <f>-3500-1000-700</f>
        <v>-5200</v>
      </c>
    </row>
    <row r="12" spans="1:32" x14ac:dyDescent="0.25">
      <c r="A12" s="7" t="s">
        <v>12</v>
      </c>
      <c r="F12">
        <f>70</f>
        <v>70</v>
      </c>
      <c r="G12">
        <f>20</f>
        <v>20</v>
      </c>
      <c r="M12">
        <f>10</f>
        <v>10</v>
      </c>
      <c r="N12">
        <f>15</f>
        <v>15</v>
      </c>
      <c r="P12">
        <f>100</f>
        <v>100</v>
      </c>
      <c r="Q12">
        <f>35</f>
        <v>35</v>
      </c>
      <c r="AE12" s="1">
        <f t="shared" si="0"/>
        <v>250</v>
      </c>
      <c r="AF12" s="1">
        <f>400</f>
        <v>400</v>
      </c>
    </row>
    <row r="13" spans="1:32" x14ac:dyDescent="0.25">
      <c r="A13" s="9" t="s">
        <v>13</v>
      </c>
      <c r="D13">
        <f>400</f>
        <v>400</v>
      </c>
      <c r="AE13" s="1">
        <f t="shared" si="0"/>
        <v>400</v>
      </c>
      <c r="AF13" s="1">
        <f>300</f>
        <v>300</v>
      </c>
    </row>
    <row r="14" spans="1:32" s="12" customFormat="1" x14ac:dyDescent="0.25">
      <c r="A14" s="10" t="s">
        <v>14</v>
      </c>
      <c r="B14" s="11">
        <f>SUM(B2:B13)</f>
        <v>-960</v>
      </c>
      <c r="C14" s="11">
        <f t="shared" ref="C14:AD14" si="1">SUM(C2:C13)</f>
        <v>-3375</v>
      </c>
      <c r="D14" s="11">
        <f t="shared" si="1"/>
        <v>600</v>
      </c>
      <c r="E14" s="11">
        <f t="shared" si="1"/>
        <v>55</v>
      </c>
      <c r="F14" s="11">
        <f t="shared" si="1"/>
        <v>356</v>
      </c>
      <c r="G14" s="11">
        <f t="shared" si="1"/>
        <v>20</v>
      </c>
      <c r="H14" s="11">
        <f t="shared" si="1"/>
        <v>120</v>
      </c>
      <c r="I14" s="11">
        <f t="shared" si="1"/>
        <v>155</v>
      </c>
      <c r="J14" s="11">
        <f t="shared" si="1"/>
        <v>614</v>
      </c>
      <c r="K14" s="11">
        <f t="shared" si="1"/>
        <v>765</v>
      </c>
      <c r="L14" s="11">
        <f t="shared" si="1"/>
        <v>461</v>
      </c>
      <c r="M14" s="11">
        <f t="shared" si="1"/>
        <v>30</v>
      </c>
      <c r="N14" s="11">
        <f t="shared" si="1"/>
        <v>45</v>
      </c>
      <c r="O14" s="11">
        <f t="shared" si="1"/>
        <v>10</v>
      </c>
      <c r="P14" s="11">
        <f t="shared" si="1"/>
        <v>162</v>
      </c>
      <c r="Q14" s="11">
        <f t="shared" si="1"/>
        <v>440</v>
      </c>
      <c r="R14" s="11">
        <f t="shared" si="1"/>
        <v>300</v>
      </c>
      <c r="S14" s="11">
        <f t="shared" si="1"/>
        <v>85</v>
      </c>
      <c r="T14" s="11">
        <f t="shared" si="1"/>
        <v>20</v>
      </c>
      <c r="U14" s="11">
        <f t="shared" si="1"/>
        <v>91</v>
      </c>
      <c r="V14" s="11">
        <f t="shared" si="1"/>
        <v>228</v>
      </c>
      <c r="W14" s="11">
        <f>SUM(W3:W13)</f>
        <v>-298</v>
      </c>
      <c r="X14" s="11">
        <f t="shared" si="1"/>
        <v>125</v>
      </c>
      <c r="Y14" s="11">
        <f t="shared" si="1"/>
        <v>133</v>
      </c>
      <c r="Z14" s="11">
        <f t="shared" si="1"/>
        <v>40</v>
      </c>
      <c r="AA14" s="11">
        <f t="shared" si="1"/>
        <v>205</v>
      </c>
      <c r="AB14" s="11">
        <f t="shared" si="1"/>
        <v>40</v>
      </c>
      <c r="AC14" s="11">
        <f t="shared" si="1"/>
        <v>66</v>
      </c>
      <c r="AD14" s="11">
        <f t="shared" si="1"/>
        <v>0</v>
      </c>
      <c r="AE14" s="11">
        <f>SUM(AE2:AE5,AE7:AE13)</f>
        <v>383</v>
      </c>
      <c r="AF14" s="11">
        <f>SUM(AF2:AF5,AF7:AF13)</f>
        <v>800</v>
      </c>
    </row>
    <row r="15" spans="1:32" x14ac:dyDescent="0.25">
      <c r="A15" s="13"/>
    </row>
    <row r="16" spans="1:32" ht="15.75" thickBot="1" x14ac:dyDescent="0.3">
      <c r="A16" s="14" t="s">
        <v>15</v>
      </c>
      <c r="C16" s="15" t="s">
        <v>16</v>
      </c>
      <c r="D16" s="15" t="s">
        <v>17</v>
      </c>
    </row>
    <row r="17" spans="1:4" ht="15.75" thickBot="1" x14ac:dyDescent="0.3">
      <c r="A17" s="16">
        <v>18815</v>
      </c>
      <c r="C17" s="1" t="s">
        <v>18</v>
      </c>
      <c r="D17" s="1">
        <v>6000</v>
      </c>
    </row>
    <row r="18" spans="1:4" ht="15.75" thickBot="1" x14ac:dyDescent="0.3">
      <c r="A18" s="17" t="s">
        <v>19</v>
      </c>
      <c r="C18" s="1" t="s">
        <v>20</v>
      </c>
      <c r="D18" s="1">
        <f>98+249</f>
        <v>347</v>
      </c>
    </row>
    <row r="19" spans="1:4" ht="15.75" thickBot="1" x14ac:dyDescent="0.3">
      <c r="A19" s="16">
        <f>A17-D21-AE14</f>
        <v>670</v>
      </c>
      <c r="C19" s="1" t="s">
        <v>22</v>
      </c>
      <c r="D19" s="1">
        <f>6000+5200</f>
        <v>11200</v>
      </c>
    </row>
    <row r="20" spans="1:4" ht="15.75" thickBot="1" x14ac:dyDescent="0.3">
      <c r="A20" s="17" t="s">
        <v>21</v>
      </c>
      <c r="C20" s="1" t="s">
        <v>6</v>
      </c>
      <c r="D20" s="1">
        <f>215</f>
        <v>215</v>
      </c>
    </row>
    <row r="21" spans="1:4" ht="15.75" thickBot="1" x14ac:dyDescent="0.3">
      <c r="A21" s="16">
        <f>A17-D21-AF14</f>
        <v>253</v>
      </c>
      <c r="C21" s="11" t="s">
        <v>14</v>
      </c>
      <c r="D21" s="11">
        <f>SUM(D17:D20)</f>
        <v>17762</v>
      </c>
    </row>
  </sheetData>
  <customSheetViews>
    <customSheetView guid="{034CB6A1-024A-4E1B-8E88-EEF2FEA56B01}">
      <pane xSplit="1" topLeftCell="Y1" activePane="topRight" state="frozen"/>
      <selection pane="topRight" activeCell="AL3" sqref="AL3"/>
      <pageMargins left="0.7" right="0.7" top="0.75" bottom="0.75" header="0.3" footer="0.3"/>
      <pageSetup paperSize="9" orientation="portrait" verticalDpi="0" r:id="rId1"/>
    </customSheetView>
  </customSheetViews>
  <pageMargins left="0.7" right="0.7" top="0.75" bottom="0.75" header="0.3" footer="0.3"/>
  <pageSetup paperSize="9" orientation="portrait" verticalDpi="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1"/>
  <sheetViews>
    <sheetView workbookViewId="0">
      <pane xSplit="1" topLeftCell="AF1" activePane="topRight" state="frozen"/>
      <selection pane="topRight" activeCell="AH13" sqref="AH13"/>
    </sheetView>
  </sheetViews>
  <sheetFormatPr defaultRowHeight="15" x14ac:dyDescent="0.25"/>
  <cols>
    <col min="1" max="1" width="23.5703125" customWidth="1"/>
    <col min="3" max="3" width="9.85546875" customWidth="1"/>
    <col min="33" max="33" width="17.85546875" customWidth="1"/>
    <col min="34" max="34" width="17.42578125" customWidth="1"/>
  </cols>
  <sheetData>
    <row r="1" spans="1:34" x14ac:dyDescent="0.25">
      <c r="A1" s="1"/>
      <c r="B1" s="2">
        <v>41698</v>
      </c>
      <c r="C1" s="2">
        <f>B1+1</f>
        <v>41699</v>
      </c>
      <c r="D1" s="2">
        <f>C1+1</f>
        <v>41700</v>
      </c>
      <c r="E1" s="2">
        <f t="shared" ref="E1:AF1" si="0">D1+1</f>
        <v>41701</v>
      </c>
      <c r="F1" s="2">
        <f t="shared" si="0"/>
        <v>41702</v>
      </c>
      <c r="G1" s="2">
        <f t="shared" si="0"/>
        <v>41703</v>
      </c>
      <c r="H1" s="2">
        <f t="shared" si="0"/>
        <v>41704</v>
      </c>
      <c r="I1" s="2">
        <f t="shared" si="0"/>
        <v>41705</v>
      </c>
      <c r="J1" s="2">
        <f t="shared" si="0"/>
        <v>41706</v>
      </c>
      <c r="K1" s="2">
        <f t="shared" si="0"/>
        <v>41707</v>
      </c>
      <c r="L1" s="2">
        <f t="shared" si="0"/>
        <v>41708</v>
      </c>
      <c r="M1" s="2">
        <f t="shared" si="0"/>
        <v>41709</v>
      </c>
      <c r="N1" s="2">
        <f t="shared" si="0"/>
        <v>41710</v>
      </c>
      <c r="O1" s="2">
        <f t="shared" si="0"/>
        <v>41711</v>
      </c>
      <c r="P1" s="2">
        <f t="shared" si="0"/>
        <v>41712</v>
      </c>
      <c r="Q1" s="2">
        <f t="shared" si="0"/>
        <v>41713</v>
      </c>
      <c r="R1" s="2">
        <f t="shared" si="0"/>
        <v>41714</v>
      </c>
      <c r="S1" s="2">
        <f t="shared" si="0"/>
        <v>41715</v>
      </c>
      <c r="T1" s="2">
        <f t="shared" si="0"/>
        <v>41716</v>
      </c>
      <c r="U1" s="2">
        <f t="shared" si="0"/>
        <v>41717</v>
      </c>
      <c r="V1" s="2">
        <f t="shared" si="0"/>
        <v>41718</v>
      </c>
      <c r="W1" s="2">
        <f t="shared" si="0"/>
        <v>41719</v>
      </c>
      <c r="X1" s="2">
        <f t="shared" si="0"/>
        <v>41720</v>
      </c>
      <c r="Y1" s="2">
        <f t="shared" si="0"/>
        <v>41721</v>
      </c>
      <c r="Z1" s="2">
        <f t="shared" si="0"/>
        <v>41722</v>
      </c>
      <c r="AA1" s="2">
        <f t="shared" si="0"/>
        <v>41723</v>
      </c>
      <c r="AB1" s="2">
        <f t="shared" si="0"/>
        <v>41724</v>
      </c>
      <c r="AC1" s="2">
        <f t="shared" si="0"/>
        <v>41725</v>
      </c>
      <c r="AD1" s="2">
        <f t="shared" si="0"/>
        <v>41726</v>
      </c>
      <c r="AE1" s="2">
        <f t="shared" si="0"/>
        <v>41727</v>
      </c>
      <c r="AF1" s="2">
        <f t="shared" si="0"/>
        <v>41728</v>
      </c>
      <c r="AG1" s="3" t="s">
        <v>0</v>
      </c>
      <c r="AH1" s="3" t="s">
        <v>1</v>
      </c>
    </row>
    <row r="2" spans="1:34" x14ac:dyDescent="0.25">
      <c r="A2" s="4" t="s">
        <v>2</v>
      </c>
      <c r="B2" s="5"/>
      <c r="AG2" s="1">
        <f t="shared" ref="AG2:AG13" si="1">SUM(B2:AE2)</f>
        <v>0</v>
      </c>
      <c r="AH2" s="1">
        <f>500</f>
        <v>500</v>
      </c>
    </row>
    <row r="3" spans="1:34" x14ac:dyDescent="0.25">
      <c r="A3" s="6" t="s">
        <v>3</v>
      </c>
      <c r="D3">
        <f>360</f>
        <v>360</v>
      </c>
      <c r="L3">
        <f>37+56</f>
        <v>93</v>
      </c>
      <c r="P3">
        <f>105</f>
        <v>105</v>
      </c>
      <c r="AG3" s="1">
        <f t="shared" si="1"/>
        <v>558</v>
      </c>
      <c r="AH3" s="1">
        <f>100+200+200+500</f>
        <v>1000</v>
      </c>
    </row>
    <row r="4" spans="1:34" x14ac:dyDescent="0.25">
      <c r="A4" s="7" t="s">
        <v>4</v>
      </c>
      <c r="B4">
        <f>20+10</f>
        <v>30</v>
      </c>
      <c r="C4">
        <f>20+5+40+25</f>
        <v>90</v>
      </c>
      <c r="E4">
        <f>13</f>
        <v>13</v>
      </c>
      <c r="G4">
        <f>20+10+7+10</f>
        <v>47</v>
      </c>
      <c r="H4">
        <f>10+20</f>
        <v>30</v>
      </c>
      <c r="I4">
        <f>10+20</f>
        <v>30</v>
      </c>
      <c r="L4">
        <f>1+20+20</f>
        <v>41</v>
      </c>
      <c r="M4">
        <f>20</f>
        <v>20</v>
      </c>
      <c r="O4">
        <f>20</f>
        <v>20</v>
      </c>
      <c r="P4">
        <f>20+10+5</f>
        <v>35</v>
      </c>
      <c r="Q4">
        <f>10+20+10</f>
        <v>40</v>
      </c>
      <c r="R4">
        <f>50</f>
        <v>50</v>
      </c>
      <c r="T4">
        <f>20+10+35</f>
        <v>65</v>
      </c>
      <c r="V4">
        <f>40</f>
        <v>40</v>
      </c>
      <c r="W4">
        <f>20+25</f>
        <v>45</v>
      </c>
      <c r="X4" s="8">
        <f>10</f>
        <v>10</v>
      </c>
      <c r="Y4" s="8"/>
      <c r="Z4">
        <f>28</f>
        <v>28</v>
      </c>
      <c r="AA4">
        <f>20+10</f>
        <v>30</v>
      </c>
      <c r="AB4">
        <f>20+10</f>
        <v>30</v>
      </c>
      <c r="AC4">
        <f>20+10</f>
        <v>30</v>
      </c>
      <c r="AD4">
        <f>20</f>
        <v>20</v>
      </c>
      <c r="AE4">
        <f>20+10</f>
        <v>30</v>
      </c>
      <c r="AG4" s="1">
        <f t="shared" si="1"/>
        <v>774</v>
      </c>
      <c r="AH4" s="1">
        <f>700</f>
        <v>700</v>
      </c>
    </row>
    <row r="5" spans="1:34" x14ac:dyDescent="0.25">
      <c r="A5" s="7" t="s">
        <v>5</v>
      </c>
      <c r="D5">
        <f>35</f>
        <v>35</v>
      </c>
      <c r="F5">
        <f>40</f>
        <v>40</v>
      </c>
      <c r="G5" s="18"/>
      <c r="M5">
        <f>60</f>
        <v>60</v>
      </c>
      <c r="N5">
        <f>125</f>
        <v>125</v>
      </c>
      <c r="O5">
        <f>10</f>
        <v>10</v>
      </c>
      <c r="Q5">
        <f>55</f>
        <v>55</v>
      </c>
      <c r="R5">
        <f>280</f>
        <v>280</v>
      </c>
      <c r="S5">
        <f>50</f>
        <v>50</v>
      </c>
      <c r="T5">
        <f>90</f>
        <v>90</v>
      </c>
      <c r="V5" s="8"/>
      <c r="W5" s="8"/>
      <c r="X5" s="8">
        <f>70</f>
        <v>70</v>
      </c>
      <c r="Y5" s="8"/>
      <c r="AG5" s="1">
        <f t="shared" si="1"/>
        <v>815</v>
      </c>
      <c r="AH5" s="1">
        <f>600</f>
        <v>600</v>
      </c>
    </row>
    <row r="6" spans="1:34" x14ac:dyDescent="0.25">
      <c r="A6" s="7" t="s">
        <v>6</v>
      </c>
      <c r="L6">
        <f>20</f>
        <v>20</v>
      </c>
      <c r="V6" s="8"/>
      <c r="W6" s="8"/>
      <c r="X6" s="8"/>
      <c r="AG6" s="1">
        <f t="shared" si="1"/>
        <v>20</v>
      </c>
      <c r="AH6" s="1">
        <f>150</f>
        <v>150</v>
      </c>
    </row>
    <row r="7" spans="1:34" x14ac:dyDescent="0.25">
      <c r="A7" s="7" t="s">
        <v>7</v>
      </c>
      <c r="C7">
        <f>349+1100</f>
        <v>1449</v>
      </c>
      <c r="F7">
        <f>2</f>
        <v>2</v>
      </c>
      <c r="M7">
        <f>60</f>
        <v>60</v>
      </c>
      <c r="V7" s="8"/>
      <c r="W7" s="8"/>
      <c r="X7" s="8"/>
      <c r="Y7" s="8"/>
      <c r="AG7" s="1">
        <f t="shared" si="1"/>
        <v>1511</v>
      </c>
      <c r="AH7" s="1">
        <f>1100</f>
        <v>1100</v>
      </c>
    </row>
    <row r="8" spans="1:34" x14ac:dyDescent="0.25">
      <c r="A8" s="7" t="s">
        <v>8</v>
      </c>
      <c r="D8">
        <f>20+15</f>
        <v>35</v>
      </c>
      <c r="F8">
        <f>4</f>
        <v>4</v>
      </c>
      <c r="J8">
        <f>20</f>
        <v>20</v>
      </c>
      <c r="K8">
        <f>10</f>
        <v>10</v>
      </c>
      <c r="M8">
        <f>20</f>
        <v>20</v>
      </c>
      <c r="R8">
        <f>18</f>
        <v>18</v>
      </c>
      <c r="S8">
        <f>50</f>
        <v>50</v>
      </c>
      <c r="U8">
        <f>20</f>
        <v>20</v>
      </c>
      <c r="V8" s="8"/>
      <c r="W8" s="8"/>
      <c r="X8" s="8"/>
      <c r="Y8" s="8">
        <f>20+10</f>
        <v>30</v>
      </c>
      <c r="AF8">
        <f>18+20</f>
        <v>38</v>
      </c>
      <c r="AG8" s="1">
        <f t="shared" si="1"/>
        <v>207</v>
      </c>
      <c r="AH8" s="1">
        <f>200</f>
        <v>200</v>
      </c>
    </row>
    <row r="9" spans="1:34" x14ac:dyDescent="0.25">
      <c r="A9" s="7" t="s">
        <v>9</v>
      </c>
      <c r="J9">
        <f>100</f>
        <v>100</v>
      </c>
      <c r="S9">
        <f>20</f>
        <v>20</v>
      </c>
      <c r="V9" s="8"/>
      <c r="W9" s="8"/>
      <c r="X9" s="8"/>
      <c r="Y9" s="8"/>
      <c r="AG9" s="1">
        <f t="shared" si="1"/>
        <v>120</v>
      </c>
      <c r="AH9" s="1">
        <f>200</f>
        <v>200</v>
      </c>
    </row>
    <row r="10" spans="1:34" x14ac:dyDescent="0.25">
      <c r="A10" s="7" t="s">
        <v>10</v>
      </c>
      <c r="D10">
        <f>100</f>
        <v>100</v>
      </c>
      <c r="F10">
        <f>5</f>
        <v>5</v>
      </c>
      <c r="J10">
        <f>30+10+15</f>
        <v>55</v>
      </c>
      <c r="K10">
        <f>10+16</f>
        <v>26</v>
      </c>
      <c r="M10">
        <f>100</f>
        <v>100</v>
      </c>
      <c r="R10">
        <f>100</f>
        <v>100</v>
      </c>
      <c r="U10">
        <f>25+225</f>
        <v>250</v>
      </c>
      <c r="V10" s="8">
        <f>15+15</f>
        <v>30</v>
      </c>
      <c r="W10" s="8">
        <f>-14</f>
        <v>-14</v>
      </c>
      <c r="X10" s="8">
        <f>10+10</f>
        <v>20</v>
      </c>
      <c r="Y10" s="8">
        <f>100</f>
        <v>100</v>
      </c>
      <c r="AF10">
        <f>15+5+10</f>
        <v>30</v>
      </c>
      <c r="AG10" s="1">
        <f t="shared" si="1"/>
        <v>772</v>
      </c>
      <c r="AH10" s="1">
        <f>1000</f>
        <v>1000</v>
      </c>
    </row>
    <row r="11" spans="1:34" x14ac:dyDescent="0.25">
      <c r="A11" s="7" t="s">
        <v>11</v>
      </c>
      <c r="F11">
        <f>-10</f>
        <v>-10</v>
      </c>
      <c r="O11">
        <f>-700</f>
        <v>-700</v>
      </c>
      <c r="AG11" s="1">
        <f t="shared" si="1"/>
        <v>-710</v>
      </c>
      <c r="AH11" s="1">
        <f>-700</f>
        <v>-700</v>
      </c>
    </row>
    <row r="12" spans="1:34" x14ac:dyDescent="0.25">
      <c r="A12" s="7" t="s">
        <v>12</v>
      </c>
      <c r="B12">
        <f>60</f>
        <v>60</v>
      </c>
      <c r="C12">
        <f>40</f>
        <v>40</v>
      </c>
      <c r="H12">
        <f>271</f>
        <v>271</v>
      </c>
      <c r="M12">
        <f>40+20</f>
        <v>60</v>
      </c>
      <c r="O12">
        <f>45</f>
        <v>45</v>
      </c>
      <c r="P12">
        <f>15</f>
        <v>15</v>
      </c>
      <c r="T12">
        <f>45</f>
        <v>45</v>
      </c>
      <c r="V12">
        <f>45</f>
        <v>45</v>
      </c>
      <c r="X12">
        <f>25+20</f>
        <v>45</v>
      </c>
      <c r="AD12">
        <f>55</f>
        <v>55</v>
      </c>
      <c r="AE12">
        <f>45</f>
        <v>45</v>
      </c>
      <c r="AG12" s="1">
        <f t="shared" si="1"/>
        <v>726</v>
      </c>
      <c r="AH12" s="1">
        <f>500</f>
        <v>500</v>
      </c>
    </row>
    <row r="13" spans="1:34" x14ac:dyDescent="0.25">
      <c r="A13" s="9" t="s">
        <v>13</v>
      </c>
      <c r="I13">
        <f>325</f>
        <v>325</v>
      </c>
      <c r="N13">
        <f>150</f>
        <v>150</v>
      </c>
      <c r="AG13" s="1">
        <f t="shared" si="1"/>
        <v>475</v>
      </c>
      <c r="AH13" s="1">
        <f>700</f>
        <v>700</v>
      </c>
    </row>
    <row r="14" spans="1:34" s="12" customFormat="1" x14ac:dyDescent="0.25">
      <c r="A14" s="10" t="s">
        <v>14</v>
      </c>
      <c r="B14" s="11">
        <f t="shared" ref="B14:V14" si="2">SUM(B2:B13)</f>
        <v>90</v>
      </c>
      <c r="C14" s="11">
        <f t="shared" si="2"/>
        <v>1579</v>
      </c>
      <c r="D14" s="11">
        <f t="shared" si="2"/>
        <v>530</v>
      </c>
      <c r="E14" s="11">
        <f t="shared" si="2"/>
        <v>13</v>
      </c>
      <c r="F14" s="11">
        <f t="shared" si="2"/>
        <v>41</v>
      </c>
      <c r="G14" s="11">
        <f t="shared" si="2"/>
        <v>47</v>
      </c>
      <c r="H14" s="11">
        <f t="shared" si="2"/>
        <v>301</v>
      </c>
      <c r="I14" s="11">
        <f t="shared" si="2"/>
        <v>355</v>
      </c>
      <c r="J14" s="11">
        <f t="shared" si="2"/>
        <v>175</v>
      </c>
      <c r="K14" s="11">
        <f t="shared" si="2"/>
        <v>36</v>
      </c>
      <c r="L14" s="11">
        <f t="shared" si="2"/>
        <v>154</v>
      </c>
      <c r="M14" s="11">
        <f t="shared" si="2"/>
        <v>320</v>
      </c>
      <c r="N14" s="11">
        <f t="shared" si="2"/>
        <v>275</v>
      </c>
      <c r="O14" s="11">
        <f t="shared" si="2"/>
        <v>-625</v>
      </c>
      <c r="P14" s="11">
        <f t="shared" si="2"/>
        <v>155</v>
      </c>
      <c r="Q14" s="11">
        <f t="shared" si="2"/>
        <v>95</v>
      </c>
      <c r="R14" s="11">
        <f t="shared" si="2"/>
        <v>448</v>
      </c>
      <c r="S14" s="11">
        <f t="shared" si="2"/>
        <v>120</v>
      </c>
      <c r="T14" s="11">
        <f t="shared" si="2"/>
        <v>200</v>
      </c>
      <c r="U14" s="11">
        <f t="shared" si="2"/>
        <v>270</v>
      </c>
      <c r="V14" s="11">
        <f t="shared" si="2"/>
        <v>115</v>
      </c>
      <c r="W14" s="11">
        <f>SUM(W3:W13)</f>
        <v>31</v>
      </c>
      <c r="X14" s="11">
        <f t="shared" ref="X14:AF14" si="3">SUM(X2:X13)</f>
        <v>145</v>
      </c>
      <c r="Y14" s="11">
        <f t="shared" si="3"/>
        <v>130</v>
      </c>
      <c r="Z14" s="11">
        <f t="shared" si="3"/>
        <v>28</v>
      </c>
      <c r="AA14" s="11">
        <f t="shared" si="3"/>
        <v>30</v>
      </c>
      <c r="AB14" s="11">
        <f t="shared" si="3"/>
        <v>30</v>
      </c>
      <c r="AC14" s="11">
        <f t="shared" si="3"/>
        <v>30</v>
      </c>
      <c r="AD14" s="11">
        <f t="shared" si="3"/>
        <v>75</v>
      </c>
      <c r="AE14" s="11">
        <f t="shared" si="3"/>
        <v>75</v>
      </c>
      <c r="AF14" s="11">
        <f t="shared" si="3"/>
        <v>68</v>
      </c>
      <c r="AG14" s="11">
        <f>SUM(AG2:AG5,AG7:AG13)</f>
        <v>5248</v>
      </c>
      <c r="AH14" s="11">
        <f>SUM(AH2:AH5,AH7:AH13)</f>
        <v>5800</v>
      </c>
    </row>
    <row r="15" spans="1:34" x14ac:dyDescent="0.25">
      <c r="A15" s="13"/>
    </row>
    <row r="16" spans="1:34" ht="15.75" thickBot="1" x14ac:dyDescent="0.3">
      <c r="A16" s="14" t="s">
        <v>15</v>
      </c>
      <c r="C16" s="15" t="s">
        <v>16</v>
      </c>
      <c r="D16" s="15" t="s">
        <v>17</v>
      </c>
    </row>
    <row r="17" spans="1:4" ht="15.75" thickBot="1" x14ac:dyDescent="0.3">
      <c r="A17" s="16">
        <v>18815</v>
      </c>
      <c r="C17" s="1" t="s">
        <v>18</v>
      </c>
      <c r="D17" s="1">
        <v>6000</v>
      </c>
    </row>
    <row r="18" spans="1:4" ht="15.75" thickBot="1" x14ac:dyDescent="0.3">
      <c r="A18" s="17" t="s">
        <v>19</v>
      </c>
      <c r="C18" s="1" t="s">
        <v>20</v>
      </c>
      <c r="D18" s="1">
        <f>786+98</f>
        <v>884</v>
      </c>
    </row>
    <row r="19" spans="1:4" ht="15.75" thickBot="1" x14ac:dyDescent="0.3">
      <c r="A19" s="16">
        <f>A17-D21-AG14</f>
        <v>683</v>
      </c>
      <c r="C19" s="1" t="s">
        <v>22</v>
      </c>
      <c r="D19" s="1">
        <v>6000</v>
      </c>
    </row>
    <row r="20" spans="1:4" ht="15.75" thickBot="1" x14ac:dyDescent="0.3">
      <c r="A20" s="17" t="s">
        <v>21</v>
      </c>
      <c r="C20" s="1" t="s">
        <v>6</v>
      </c>
      <c r="D20" s="1">
        <v>0</v>
      </c>
    </row>
    <row r="21" spans="1:4" ht="15.75" thickBot="1" x14ac:dyDescent="0.3">
      <c r="A21" s="16">
        <f>A17-D21-AH14</f>
        <v>131</v>
      </c>
      <c r="C21" s="11" t="s">
        <v>14</v>
      </c>
      <c r="D21" s="11">
        <f>SUM(D17:D20)</f>
        <v>12884</v>
      </c>
    </row>
  </sheetData>
  <customSheetViews>
    <customSheetView guid="{034CB6A1-024A-4E1B-8E88-EEF2FEA56B01}">
      <pane xSplit="1" topLeftCell="U1" activePane="topRight" state="frozen"/>
      <selection pane="topRight" activeCell="AF12" sqref="AF12"/>
      <pageMargins left="0.7" right="0.7" top="0.75" bottom="0.75" header="0.3" footer="0.3"/>
      <pageSetup paperSize="9" orientation="portrait" verticalDpi="0" r:id="rId1"/>
    </customSheetView>
  </customSheetViews>
  <pageMargins left="0.7" right="0.7" top="0.75" bottom="0.75" header="0.3" footer="0.3"/>
  <pageSetup paperSize="9" orientation="portrait" verticalDpi="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1"/>
  <sheetViews>
    <sheetView workbookViewId="0">
      <selection activeCell="B4" sqref="B4"/>
    </sheetView>
  </sheetViews>
  <sheetFormatPr defaultRowHeight="15" x14ac:dyDescent="0.25"/>
  <cols>
    <col min="1" max="1" width="23.5703125" customWidth="1"/>
    <col min="3" max="3" width="9.85546875" customWidth="1"/>
    <col min="33" max="33" width="17.85546875" customWidth="1"/>
    <col min="34" max="34" width="17.42578125" customWidth="1"/>
  </cols>
  <sheetData>
    <row r="1" spans="1:34" x14ac:dyDescent="0.25">
      <c r="A1" s="1"/>
      <c r="B1" s="2">
        <v>41729</v>
      </c>
      <c r="C1" s="2">
        <f>B1+1</f>
        <v>41730</v>
      </c>
      <c r="D1" s="2">
        <f>C1+1</f>
        <v>41731</v>
      </c>
      <c r="E1" s="2">
        <f t="shared" ref="E1:AF1" si="0">D1+1</f>
        <v>41732</v>
      </c>
      <c r="F1" s="2">
        <f t="shared" si="0"/>
        <v>41733</v>
      </c>
      <c r="G1" s="2">
        <f t="shared" si="0"/>
        <v>41734</v>
      </c>
      <c r="H1" s="2">
        <f t="shared" si="0"/>
        <v>41735</v>
      </c>
      <c r="I1" s="2">
        <f t="shared" si="0"/>
        <v>41736</v>
      </c>
      <c r="J1" s="2">
        <f t="shared" si="0"/>
        <v>41737</v>
      </c>
      <c r="K1" s="2">
        <f t="shared" si="0"/>
        <v>41738</v>
      </c>
      <c r="L1" s="2">
        <f t="shared" si="0"/>
        <v>41739</v>
      </c>
      <c r="M1" s="2">
        <f t="shared" si="0"/>
        <v>41740</v>
      </c>
      <c r="N1" s="2">
        <f t="shared" si="0"/>
        <v>41741</v>
      </c>
      <c r="O1" s="2">
        <f t="shared" si="0"/>
        <v>41742</v>
      </c>
      <c r="P1" s="2">
        <f t="shared" si="0"/>
        <v>41743</v>
      </c>
      <c r="Q1" s="2">
        <f t="shared" si="0"/>
        <v>41744</v>
      </c>
      <c r="R1" s="2">
        <f t="shared" si="0"/>
        <v>41745</v>
      </c>
      <c r="S1" s="2">
        <f t="shared" si="0"/>
        <v>41746</v>
      </c>
      <c r="T1" s="2">
        <f t="shared" si="0"/>
        <v>41747</v>
      </c>
      <c r="U1" s="2">
        <f t="shared" si="0"/>
        <v>41748</v>
      </c>
      <c r="V1" s="2">
        <f t="shared" si="0"/>
        <v>41749</v>
      </c>
      <c r="W1" s="2">
        <f t="shared" si="0"/>
        <v>41750</v>
      </c>
      <c r="X1" s="2">
        <f t="shared" si="0"/>
        <v>41751</v>
      </c>
      <c r="Y1" s="2">
        <f t="shared" si="0"/>
        <v>41752</v>
      </c>
      <c r="Z1" s="2">
        <f t="shared" si="0"/>
        <v>41753</v>
      </c>
      <c r="AA1" s="2">
        <f t="shared" si="0"/>
        <v>41754</v>
      </c>
      <c r="AB1" s="2">
        <f t="shared" si="0"/>
        <v>41755</v>
      </c>
      <c r="AC1" s="2">
        <f t="shared" si="0"/>
        <v>41756</v>
      </c>
      <c r="AD1" s="2">
        <f t="shared" si="0"/>
        <v>41757</v>
      </c>
      <c r="AE1" s="2">
        <f t="shared" si="0"/>
        <v>41758</v>
      </c>
      <c r="AF1" s="2">
        <f t="shared" si="0"/>
        <v>41759</v>
      </c>
      <c r="AG1" s="3" t="s">
        <v>0</v>
      </c>
      <c r="AH1" s="3" t="s">
        <v>1</v>
      </c>
    </row>
    <row r="2" spans="1:34" x14ac:dyDescent="0.25">
      <c r="A2" s="4" t="s">
        <v>2</v>
      </c>
      <c r="B2">
        <f>30</f>
        <v>30</v>
      </c>
      <c r="K2">
        <f>30</f>
        <v>30</v>
      </c>
      <c r="R2">
        <f>200+160+360+60</f>
        <v>780</v>
      </c>
      <c r="AD2">
        <f>50</f>
        <v>50</v>
      </c>
      <c r="AG2" s="1">
        <f t="shared" ref="AG2:AG13" si="1">SUM(B2:AF2)</f>
        <v>890</v>
      </c>
      <c r="AH2" s="1">
        <f>300+200</f>
        <v>500</v>
      </c>
    </row>
    <row r="3" spans="1:34" x14ac:dyDescent="0.25">
      <c r="A3" s="6" t="s">
        <v>3</v>
      </c>
      <c r="E3">
        <f>37</f>
        <v>37</v>
      </c>
      <c r="R3">
        <f>105</f>
        <v>105</v>
      </c>
      <c r="X3">
        <f>38</f>
        <v>38</v>
      </c>
      <c r="Z3">
        <f>100</f>
        <v>100</v>
      </c>
      <c r="AG3" s="1">
        <f t="shared" si="1"/>
        <v>280</v>
      </c>
      <c r="AH3" s="1">
        <f>300</f>
        <v>300</v>
      </c>
    </row>
    <row r="4" spans="1:34" x14ac:dyDescent="0.25">
      <c r="A4" s="7" t="s">
        <v>4</v>
      </c>
      <c r="D4">
        <f>5</f>
        <v>5</v>
      </c>
      <c r="E4">
        <f>10</f>
        <v>10</v>
      </c>
      <c r="F4">
        <f>20+20</f>
        <v>40</v>
      </c>
      <c r="G4">
        <f>50+35</f>
        <v>85</v>
      </c>
      <c r="I4">
        <f>10+20</f>
        <v>30</v>
      </c>
      <c r="J4">
        <f>45</f>
        <v>45</v>
      </c>
      <c r="K4">
        <f>25</f>
        <v>25</v>
      </c>
      <c r="L4">
        <f>10</f>
        <v>10</v>
      </c>
      <c r="M4">
        <f>30</f>
        <v>30</v>
      </c>
      <c r="N4">
        <f>10</f>
        <v>10</v>
      </c>
      <c r="P4">
        <f>30</f>
        <v>30</v>
      </c>
      <c r="Q4">
        <f>30</f>
        <v>30</v>
      </c>
      <c r="R4">
        <f>10+20</f>
        <v>30</v>
      </c>
      <c r="T4">
        <f>50</f>
        <v>50</v>
      </c>
      <c r="X4" s="8"/>
      <c r="Y4" s="8"/>
      <c r="Z4">
        <f>100</f>
        <v>100</v>
      </c>
      <c r="AA4">
        <f>20</f>
        <v>20</v>
      </c>
      <c r="AF4">
        <f>20+20+40</f>
        <v>80</v>
      </c>
      <c r="AG4" s="1">
        <f t="shared" si="1"/>
        <v>630</v>
      </c>
      <c r="AH4" s="1">
        <f>700</f>
        <v>700</v>
      </c>
    </row>
    <row r="5" spans="1:34" x14ac:dyDescent="0.25">
      <c r="A5" s="7" t="s">
        <v>5</v>
      </c>
      <c r="E5">
        <f>20+150</f>
        <v>170</v>
      </c>
      <c r="G5" s="18"/>
      <c r="H5">
        <f>70</f>
        <v>70</v>
      </c>
      <c r="J5">
        <f>140+20</f>
        <v>160</v>
      </c>
      <c r="N5">
        <f>60</f>
        <v>60</v>
      </c>
      <c r="V5" s="8"/>
      <c r="W5" s="8">
        <f>66</f>
        <v>66</v>
      </c>
      <c r="X5" s="8"/>
      <c r="Y5" s="8">
        <f>164+40</f>
        <v>204</v>
      </c>
      <c r="AC5">
        <f>220</f>
        <v>220</v>
      </c>
      <c r="AG5" s="1">
        <f t="shared" si="1"/>
        <v>950</v>
      </c>
      <c r="AH5" s="1">
        <f>600</f>
        <v>600</v>
      </c>
    </row>
    <row r="6" spans="1:34" x14ac:dyDescent="0.25">
      <c r="A6" s="7" t="s">
        <v>6</v>
      </c>
      <c r="V6" s="8"/>
      <c r="W6" s="8"/>
      <c r="X6" s="8"/>
      <c r="AG6" s="1">
        <f t="shared" si="1"/>
        <v>0</v>
      </c>
      <c r="AH6" s="1">
        <f>150</f>
        <v>150</v>
      </c>
    </row>
    <row r="7" spans="1:34" x14ac:dyDescent="0.25">
      <c r="A7" s="7" t="s">
        <v>7</v>
      </c>
      <c r="H7">
        <f>305</f>
        <v>305</v>
      </c>
      <c r="L7">
        <f>50</f>
        <v>50</v>
      </c>
      <c r="U7">
        <f>130+100</f>
        <v>230</v>
      </c>
      <c r="V7" s="8">
        <f>10</f>
        <v>10</v>
      </c>
      <c r="W7" s="8"/>
      <c r="X7" s="8"/>
      <c r="Y7" s="8">
        <f>-1000+10+100</f>
        <v>-890</v>
      </c>
      <c r="AD7">
        <f>20</f>
        <v>20</v>
      </c>
      <c r="AG7" s="1">
        <f t="shared" si="1"/>
        <v>-275</v>
      </c>
      <c r="AH7" s="1">
        <v>0</v>
      </c>
    </row>
    <row r="8" spans="1:34" x14ac:dyDescent="0.25">
      <c r="A8" s="7" t="s">
        <v>8</v>
      </c>
      <c r="D8">
        <f>20</f>
        <v>20</v>
      </c>
      <c r="H8">
        <f>20</f>
        <v>20</v>
      </c>
      <c r="J8">
        <f>920</f>
        <v>920</v>
      </c>
      <c r="O8">
        <f>20</f>
        <v>20</v>
      </c>
      <c r="T8">
        <f>10</f>
        <v>10</v>
      </c>
      <c r="V8" s="8">
        <f>50+17</f>
        <v>67</v>
      </c>
      <c r="W8" s="8"/>
      <c r="X8" s="8">
        <f>10</f>
        <v>10</v>
      </c>
      <c r="Y8" s="8"/>
      <c r="Z8">
        <f>10</f>
        <v>10</v>
      </c>
      <c r="AC8">
        <f>30</f>
        <v>30</v>
      </c>
      <c r="AD8">
        <f>7</f>
        <v>7</v>
      </c>
      <c r="AG8" s="1">
        <f t="shared" si="1"/>
        <v>1114</v>
      </c>
      <c r="AH8" s="1">
        <f>200</f>
        <v>200</v>
      </c>
    </row>
    <row r="9" spans="1:34" x14ac:dyDescent="0.25">
      <c r="A9" s="7" t="s">
        <v>9</v>
      </c>
      <c r="N9">
        <f>100</f>
        <v>100</v>
      </c>
      <c r="V9" s="8"/>
      <c r="W9" s="8"/>
      <c r="X9" s="8"/>
      <c r="Y9" s="8"/>
      <c r="AG9" s="1">
        <f t="shared" si="1"/>
        <v>100</v>
      </c>
      <c r="AH9" s="1">
        <f>200</f>
        <v>200</v>
      </c>
    </row>
    <row r="10" spans="1:34" x14ac:dyDescent="0.25">
      <c r="A10" s="7" t="s">
        <v>10</v>
      </c>
      <c r="B10">
        <f>10</f>
        <v>10</v>
      </c>
      <c r="C10">
        <f>5</f>
        <v>5</v>
      </c>
      <c r="D10">
        <f>10+15</f>
        <v>25</v>
      </c>
      <c r="E10">
        <f>53</f>
        <v>53</v>
      </c>
      <c r="G10">
        <f>100+10+10</f>
        <v>120</v>
      </c>
      <c r="H10">
        <f>10</f>
        <v>10</v>
      </c>
      <c r="L10">
        <f>100</f>
        <v>100</v>
      </c>
      <c r="M10">
        <f>15+15</f>
        <v>30</v>
      </c>
      <c r="N10">
        <f>100</f>
        <v>100</v>
      </c>
      <c r="O10">
        <f>5</f>
        <v>5</v>
      </c>
      <c r="P10">
        <f>25+20</f>
        <v>45</v>
      </c>
      <c r="Q10">
        <f>25+15</f>
        <v>40</v>
      </c>
      <c r="R10">
        <f>15+15</f>
        <v>30</v>
      </c>
      <c r="S10">
        <f>15+15+15</f>
        <v>45</v>
      </c>
      <c r="T10">
        <f>15+15</f>
        <v>30</v>
      </c>
      <c r="U10">
        <f>25+10</f>
        <v>35</v>
      </c>
      <c r="V10" s="8">
        <f>15</f>
        <v>15</v>
      </c>
      <c r="W10">
        <f>15+15</f>
        <v>30</v>
      </c>
      <c r="X10" s="8">
        <f>25+15</f>
        <v>40</v>
      </c>
      <c r="Y10" s="8">
        <f>15+20</f>
        <v>35</v>
      </c>
      <c r="Z10">
        <f>10+15</f>
        <v>25</v>
      </c>
      <c r="AA10">
        <f>15</f>
        <v>15</v>
      </c>
      <c r="AB10">
        <f>50</f>
        <v>50</v>
      </c>
      <c r="AE10">
        <f>15</f>
        <v>15</v>
      </c>
      <c r="AF10">
        <f>15+15</f>
        <v>30</v>
      </c>
      <c r="AG10" s="1">
        <f t="shared" si="1"/>
        <v>938</v>
      </c>
      <c r="AH10" s="1">
        <f>1000</f>
        <v>1000</v>
      </c>
    </row>
    <row r="11" spans="1:34" x14ac:dyDescent="0.25">
      <c r="A11" s="7" t="s">
        <v>11</v>
      </c>
      <c r="B11">
        <f>-100</f>
        <v>-100</v>
      </c>
      <c r="F11">
        <f>100</f>
        <v>100</v>
      </c>
      <c r="L11">
        <f>50</f>
        <v>50</v>
      </c>
      <c r="N11">
        <f>100</f>
        <v>100</v>
      </c>
      <c r="U11">
        <f>-270</f>
        <v>-270</v>
      </c>
      <c r="AF11">
        <f>270+500</f>
        <v>770</v>
      </c>
      <c r="AG11" s="1">
        <f t="shared" si="1"/>
        <v>650</v>
      </c>
      <c r="AH11" s="1">
        <v>0</v>
      </c>
    </row>
    <row r="12" spans="1:34" x14ac:dyDescent="0.25">
      <c r="A12" s="7" t="s">
        <v>12</v>
      </c>
      <c r="C12">
        <f>45</f>
        <v>45</v>
      </c>
      <c r="D12">
        <f>40+45</f>
        <v>85</v>
      </c>
      <c r="G12">
        <f>40</f>
        <v>40</v>
      </c>
      <c r="S12">
        <f>90</f>
        <v>90</v>
      </c>
      <c r="U12">
        <f>30</f>
        <v>30</v>
      </c>
      <c r="X12">
        <f>30</f>
        <v>30</v>
      </c>
      <c r="AB12">
        <f>70</f>
        <v>70</v>
      </c>
      <c r="AE12">
        <f>10</f>
        <v>10</v>
      </c>
      <c r="AG12" s="1">
        <f t="shared" si="1"/>
        <v>400</v>
      </c>
      <c r="AH12" s="1">
        <f>500</f>
        <v>500</v>
      </c>
    </row>
    <row r="13" spans="1:34" x14ac:dyDescent="0.25">
      <c r="A13" s="9" t="s">
        <v>13</v>
      </c>
      <c r="AG13" s="1">
        <f t="shared" si="1"/>
        <v>0</v>
      </c>
      <c r="AH13" s="1">
        <f>700</f>
        <v>700</v>
      </c>
    </row>
    <row r="14" spans="1:34" s="12" customFormat="1" x14ac:dyDescent="0.25">
      <c r="A14" s="10" t="s">
        <v>14</v>
      </c>
      <c r="B14" s="11">
        <f>SUM(B2:B13)</f>
        <v>-60</v>
      </c>
      <c r="C14" s="11">
        <f t="shared" ref="C14:AF14" si="2">SUM(C2:C13)</f>
        <v>50</v>
      </c>
      <c r="D14" s="11">
        <f t="shared" si="2"/>
        <v>135</v>
      </c>
      <c r="E14" s="11">
        <f t="shared" si="2"/>
        <v>270</v>
      </c>
      <c r="F14" s="11">
        <f t="shared" si="2"/>
        <v>140</v>
      </c>
      <c r="G14" s="11">
        <f t="shared" si="2"/>
        <v>245</v>
      </c>
      <c r="H14" s="11">
        <f t="shared" si="2"/>
        <v>405</v>
      </c>
      <c r="I14" s="11">
        <f t="shared" si="2"/>
        <v>30</v>
      </c>
      <c r="J14" s="11">
        <f t="shared" si="2"/>
        <v>1125</v>
      </c>
      <c r="K14" s="11">
        <f t="shared" si="2"/>
        <v>55</v>
      </c>
      <c r="L14" s="11">
        <f t="shared" si="2"/>
        <v>210</v>
      </c>
      <c r="M14" s="11">
        <f>SUM(M2:M13)</f>
        <v>60</v>
      </c>
      <c r="N14" s="11">
        <f t="shared" si="2"/>
        <v>370</v>
      </c>
      <c r="O14" s="11">
        <f t="shared" si="2"/>
        <v>25</v>
      </c>
      <c r="P14" s="11">
        <f t="shared" si="2"/>
        <v>75</v>
      </c>
      <c r="Q14" s="11">
        <f t="shared" si="2"/>
        <v>70</v>
      </c>
      <c r="R14" s="11">
        <f t="shared" si="2"/>
        <v>945</v>
      </c>
      <c r="S14" s="11">
        <f t="shared" si="2"/>
        <v>135</v>
      </c>
      <c r="T14" s="11">
        <f t="shared" si="2"/>
        <v>90</v>
      </c>
      <c r="U14" s="11">
        <f t="shared" si="2"/>
        <v>25</v>
      </c>
      <c r="V14" s="11">
        <f t="shared" si="2"/>
        <v>92</v>
      </c>
      <c r="W14" s="11">
        <f>SUM(W3:W13)</f>
        <v>96</v>
      </c>
      <c r="X14" s="11">
        <f t="shared" si="2"/>
        <v>118</v>
      </c>
      <c r="Y14" s="11">
        <f t="shared" si="2"/>
        <v>-651</v>
      </c>
      <c r="Z14" s="11">
        <f t="shared" si="2"/>
        <v>235</v>
      </c>
      <c r="AA14" s="11">
        <f t="shared" si="2"/>
        <v>35</v>
      </c>
      <c r="AB14" s="11">
        <f t="shared" si="2"/>
        <v>120</v>
      </c>
      <c r="AC14" s="11">
        <f t="shared" si="2"/>
        <v>250</v>
      </c>
      <c r="AD14" s="11">
        <f t="shared" si="2"/>
        <v>77</v>
      </c>
      <c r="AE14" s="11">
        <f t="shared" si="2"/>
        <v>25</v>
      </c>
      <c r="AF14" s="11">
        <f t="shared" si="2"/>
        <v>880</v>
      </c>
      <c r="AG14" s="11">
        <f>SUM(AG2:AG5,AG7:AG13)</f>
        <v>5677</v>
      </c>
      <c r="AH14" s="11">
        <f>SUM(AH2:AH5,AH7:AH13)</f>
        <v>4700</v>
      </c>
    </row>
    <row r="15" spans="1:34" x14ac:dyDescent="0.25">
      <c r="A15" s="13"/>
    </row>
    <row r="16" spans="1:34" ht="15.75" thickBot="1" x14ac:dyDescent="0.3">
      <c r="A16" s="14" t="s">
        <v>15</v>
      </c>
      <c r="C16" s="15" t="s">
        <v>16</v>
      </c>
      <c r="D16" s="15" t="s">
        <v>17</v>
      </c>
    </row>
    <row r="17" spans="1:4" ht="15.75" thickBot="1" x14ac:dyDescent="0.3">
      <c r="A17" s="16">
        <f>17220</f>
        <v>17220</v>
      </c>
      <c r="C17" s="1" t="s">
        <v>18</v>
      </c>
      <c r="D17" s="1">
        <v>0</v>
      </c>
    </row>
    <row r="18" spans="1:4" ht="15.75" thickBot="1" x14ac:dyDescent="0.3">
      <c r="A18" s="17" t="s">
        <v>19</v>
      </c>
      <c r="C18" s="1" t="s">
        <v>20</v>
      </c>
      <c r="D18" s="1">
        <f>98</f>
        <v>98</v>
      </c>
    </row>
    <row r="19" spans="1:4" ht="15.75" thickBot="1" x14ac:dyDescent="0.3">
      <c r="A19" s="16">
        <f>A17-D21-AG14</f>
        <v>11445</v>
      </c>
      <c r="C19" s="1" t="s">
        <v>22</v>
      </c>
      <c r="D19" s="1"/>
    </row>
    <row r="20" spans="1:4" ht="15.75" thickBot="1" x14ac:dyDescent="0.3">
      <c r="A20" s="17" t="s">
        <v>21</v>
      </c>
      <c r="C20" s="1" t="s">
        <v>6</v>
      </c>
      <c r="D20" s="1">
        <v>0</v>
      </c>
    </row>
    <row r="21" spans="1:4" ht="15.75" thickBot="1" x14ac:dyDescent="0.3">
      <c r="A21" s="16">
        <f>A17-D21-AH14</f>
        <v>12422</v>
      </c>
      <c r="C21" s="11" t="s">
        <v>14</v>
      </c>
      <c r="D21" s="11">
        <f>SUM(D17:D20)</f>
        <v>98</v>
      </c>
    </row>
  </sheetData>
  <customSheetViews>
    <customSheetView guid="{034CB6A1-024A-4E1B-8E88-EEF2FEA56B01}" topLeftCell="AB1">
      <selection activeCell="AH2" sqref="AH2"/>
      <pageMargins left="0.7" right="0.7" top="0.75" bottom="0.75" header="0.3" footer="0.3"/>
      <pageSetup paperSize="9" orientation="portrait" verticalDpi="0" r:id="rId1"/>
    </customSheetView>
  </customSheetViews>
  <pageMargins left="0.7" right="0.7" top="0.75" bottom="0.75" header="0.3" footer="0.3"/>
  <pageSetup paperSize="9" orientation="portrait" verticalDpi="0" r:id="rId2"/>
  <ignoredErrors>
    <ignoredError sqref="M4" formula="1"/>
  </ignoredErrors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0"/>
  <sheetViews>
    <sheetView workbookViewId="0">
      <pane xSplit="1" topLeftCell="U1" activePane="topRight" state="frozen"/>
      <selection pane="topRight" activeCell="AH7" sqref="AH7"/>
    </sheetView>
  </sheetViews>
  <sheetFormatPr defaultRowHeight="15" x14ac:dyDescent="0.25"/>
  <cols>
    <col min="1" max="1" width="23.5703125" customWidth="1"/>
    <col min="3" max="3" width="9.85546875" customWidth="1"/>
    <col min="33" max="33" width="17.85546875" customWidth="1"/>
    <col min="34" max="34" width="17.42578125" customWidth="1"/>
  </cols>
  <sheetData>
    <row r="1" spans="1:36" x14ac:dyDescent="0.25">
      <c r="A1" s="1"/>
      <c r="B1" s="2">
        <v>41760</v>
      </c>
      <c r="C1" s="2">
        <f>B1+1</f>
        <v>41761</v>
      </c>
      <c r="D1" s="2">
        <f>C1+1</f>
        <v>41762</v>
      </c>
      <c r="E1" s="2">
        <f t="shared" ref="E1:AF1" si="0">D1+1</f>
        <v>41763</v>
      </c>
      <c r="F1" s="2">
        <f t="shared" si="0"/>
        <v>41764</v>
      </c>
      <c r="G1" s="2">
        <f t="shared" si="0"/>
        <v>41765</v>
      </c>
      <c r="H1" s="2">
        <f t="shared" si="0"/>
        <v>41766</v>
      </c>
      <c r="I1" s="2">
        <f t="shared" si="0"/>
        <v>41767</v>
      </c>
      <c r="J1" s="2">
        <f t="shared" si="0"/>
        <v>41768</v>
      </c>
      <c r="K1" s="2">
        <f t="shared" si="0"/>
        <v>41769</v>
      </c>
      <c r="L1" s="2">
        <f t="shared" si="0"/>
        <v>41770</v>
      </c>
      <c r="M1" s="2">
        <f t="shared" si="0"/>
        <v>41771</v>
      </c>
      <c r="N1" s="2">
        <f t="shared" si="0"/>
        <v>41772</v>
      </c>
      <c r="O1" s="2">
        <f t="shared" si="0"/>
        <v>41773</v>
      </c>
      <c r="P1" s="2">
        <f t="shared" si="0"/>
        <v>41774</v>
      </c>
      <c r="Q1" s="2">
        <f t="shared" si="0"/>
        <v>41775</v>
      </c>
      <c r="R1" s="2">
        <f t="shared" si="0"/>
        <v>41776</v>
      </c>
      <c r="S1" s="2">
        <f t="shared" si="0"/>
        <v>41777</v>
      </c>
      <c r="T1" s="2">
        <f t="shared" si="0"/>
        <v>41778</v>
      </c>
      <c r="U1" s="2">
        <f t="shared" si="0"/>
        <v>41779</v>
      </c>
      <c r="V1" s="2">
        <f t="shared" si="0"/>
        <v>41780</v>
      </c>
      <c r="W1" s="2">
        <f t="shared" si="0"/>
        <v>41781</v>
      </c>
      <c r="X1" s="2">
        <f t="shared" si="0"/>
        <v>41782</v>
      </c>
      <c r="Y1" s="2">
        <f t="shared" si="0"/>
        <v>41783</v>
      </c>
      <c r="Z1" s="2">
        <f t="shared" si="0"/>
        <v>41784</v>
      </c>
      <c r="AA1" s="2">
        <f t="shared" si="0"/>
        <v>41785</v>
      </c>
      <c r="AB1" s="2">
        <f t="shared" si="0"/>
        <v>41786</v>
      </c>
      <c r="AC1" s="2">
        <f t="shared" si="0"/>
        <v>41787</v>
      </c>
      <c r="AD1" s="2">
        <f t="shared" si="0"/>
        <v>41788</v>
      </c>
      <c r="AE1" s="2">
        <f t="shared" si="0"/>
        <v>41789</v>
      </c>
      <c r="AF1" s="2">
        <f t="shared" si="0"/>
        <v>41790</v>
      </c>
      <c r="AG1" s="3" t="s">
        <v>0</v>
      </c>
      <c r="AH1" s="3" t="s">
        <v>1</v>
      </c>
    </row>
    <row r="2" spans="1:36" x14ac:dyDescent="0.25">
      <c r="A2" s="7" t="s">
        <v>2</v>
      </c>
      <c r="U2">
        <f>60</f>
        <v>60</v>
      </c>
      <c r="AG2" s="1">
        <f t="shared" ref="AG2:AG12" si="1">SUM(B2:AF2)</f>
        <v>60</v>
      </c>
      <c r="AH2" s="1">
        <v>500</v>
      </c>
    </row>
    <row r="3" spans="1:36" x14ac:dyDescent="0.25">
      <c r="A3" s="6" t="s">
        <v>3</v>
      </c>
      <c r="F3">
        <f>21</f>
        <v>21</v>
      </c>
      <c r="AG3" s="1">
        <f t="shared" si="1"/>
        <v>21</v>
      </c>
      <c r="AH3" s="1">
        <v>300</v>
      </c>
    </row>
    <row r="4" spans="1:36" x14ac:dyDescent="0.25">
      <c r="A4" s="7" t="s">
        <v>4</v>
      </c>
      <c r="B4">
        <f>10+20+30</f>
        <v>60</v>
      </c>
      <c r="C4">
        <f>15</f>
        <v>15</v>
      </c>
      <c r="E4">
        <f>10</f>
        <v>10</v>
      </c>
      <c r="I4">
        <f>40</f>
        <v>40</v>
      </c>
      <c r="J4">
        <f>15</f>
        <v>15</v>
      </c>
      <c r="K4">
        <f>30</f>
        <v>30</v>
      </c>
      <c r="M4">
        <f>15</f>
        <v>15</v>
      </c>
      <c r="O4">
        <f>30</f>
        <v>30</v>
      </c>
      <c r="T4">
        <f>30</f>
        <v>30</v>
      </c>
      <c r="U4">
        <f>30</f>
        <v>30</v>
      </c>
      <c r="X4" s="8"/>
      <c r="Y4" s="8"/>
      <c r="AG4" s="1">
        <f t="shared" si="1"/>
        <v>275</v>
      </c>
      <c r="AH4" s="1">
        <v>600</v>
      </c>
    </row>
    <row r="5" spans="1:36" x14ac:dyDescent="0.25">
      <c r="A5" s="7" t="s">
        <v>5</v>
      </c>
      <c r="D5">
        <f>100+30</f>
        <v>130</v>
      </c>
      <c r="G5" s="18">
        <f>30</f>
        <v>30</v>
      </c>
      <c r="L5">
        <f>267</f>
        <v>267</v>
      </c>
      <c r="P5">
        <f>150</f>
        <v>150</v>
      </c>
      <c r="Q5">
        <f>70+100+45</f>
        <v>215</v>
      </c>
      <c r="S5">
        <f>80+100</f>
        <v>180</v>
      </c>
      <c r="V5" s="8"/>
      <c r="W5" s="8"/>
      <c r="X5" s="8"/>
      <c r="Y5" s="8"/>
      <c r="AG5" s="1">
        <f t="shared" si="1"/>
        <v>972</v>
      </c>
      <c r="AH5" s="1">
        <v>600</v>
      </c>
    </row>
    <row r="6" spans="1:36" x14ac:dyDescent="0.25">
      <c r="A6" s="7" t="s">
        <v>7</v>
      </c>
      <c r="D6">
        <f>150+200</f>
        <v>350</v>
      </c>
      <c r="L6">
        <f>-60</f>
        <v>-60</v>
      </c>
      <c r="N6">
        <f>135</f>
        <v>135</v>
      </c>
      <c r="P6">
        <f>60+20</f>
        <v>80</v>
      </c>
      <c r="R6">
        <f>50</f>
        <v>50</v>
      </c>
      <c r="S6">
        <f>100</f>
        <v>100</v>
      </c>
      <c r="U6">
        <f>100</f>
        <v>100</v>
      </c>
      <c r="V6" s="8"/>
      <c r="W6" s="8"/>
      <c r="X6" s="8"/>
      <c r="Y6" s="8"/>
      <c r="AG6" s="1">
        <f t="shared" si="1"/>
        <v>755</v>
      </c>
      <c r="AH6" s="1">
        <f>400+2000</f>
        <v>2400</v>
      </c>
    </row>
    <row r="7" spans="1:36" x14ac:dyDescent="0.25">
      <c r="A7" s="7" t="s">
        <v>8</v>
      </c>
      <c r="D7">
        <f>34</f>
        <v>34</v>
      </c>
      <c r="E7">
        <f>30+30</f>
        <v>60</v>
      </c>
      <c r="F7">
        <f>20</f>
        <v>20</v>
      </c>
      <c r="H7">
        <f>9</f>
        <v>9</v>
      </c>
      <c r="I7">
        <f>30</f>
        <v>30</v>
      </c>
      <c r="L7">
        <f>20</f>
        <v>20</v>
      </c>
      <c r="R7">
        <f>50</f>
        <v>50</v>
      </c>
      <c r="S7">
        <f>30</f>
        <v>30</v>
      </c>
      <c r="V7" s="8"/>
      <c r="W7" s="8"/>
      <c r="X7" s="8"/>
      <c r="Y7" s="8"/>
      <c r="AG7" s="1">
        <f t="shared" si="1"/>
        <v>253</v>
      </c>
      <c r="AH7" s="1">
        <v>200</v>
      </c>
    </row>
    <row r="8" spans="1:36" x14ac:dyDescent="0.25">
      <c r="A8" s="7" t="s">
        <v>9</v>
      </c>
      <c r="I8">
        <f>200</f>
        <v>200</v>
      </c>
      <c r="L8">
        <f>175</f>
        <v>175</v>
      </c>
      <c r="R8">
        <f>289</f>
        <v>289</v>
      </c>
      <c r="V8" s="8"/>
      <c r="W8" s="8"/>
      <c r="X8" s="8"/>
      <c r="Y8" s="8"/>
      <c r="AG8" s="1">
        <f t="shared" si="1"/>
        <v>664</v>
      </c>
      <c r="AH8" s="1">
        <v>200</v>
      </c>
    </row>
    <row r="9" spans="1:36" x14ac:dyDescent="0.25">
      <c r="A9" s="7" t="s">
        <v>10</v>
      </c>
      <c r="B9">
        <f>15+15</f>
        <v>30</v>
      </c>
      <c r="C9">
        <f>15+15</f>
        <v>30</v>
      </c>
      <c r="D9">
        <f>15+25</f>
        <v>40</v>
      </c>
      <c r="F9">
        <f>15+25</f>
        <v>40</v>
      </c>
      <c r="G9">
        <f>15+25</f>
        <v>40</v>
      </c>
      <c r="H9">
        <f>20+15</f>
        <v>35</v>
      </c>
      <c r="I9">
        <f>15</f>
        <v>15</v>
      </c>
      <c r="J9">
        <f>15+15</f>
        <v>30</v>
      </c>
      <c r="K9">
        <f>15</f>
        <v>15</v>
      </c>
      <c r="L9">
        <f>15</f>
        <v>15</v>
      </c>
      <c r="M9">
        <f>10</f>
        <v>10</v>
      </c>
      <c r="N9">
        <f>10</f>
        <v>10</v>
      </c>
      <c r="P9">
        <f>70+10</f>
        <v>80</v>
      </c>
      <c r="R9">
        <f>15+10</f>
        <v>25</v>
      </c>
      <c r="S9">
        <f>15</f>
        <v>15</v>
      </c>
      <c r="T9">
        <f>15</f>
        <v>15</v>
      </c>
      <c r="U9">
        <f>10</f>
        <v>10</v>
      </c>
      <c r="V9" s="8"/>
      <c r="X9" s="8"/>
      <c r="Y9" s="8"/>
      <c r="AG9" s="1">
        <f t="shared" si="1"/>
        <v>455</v>
      </c>
      <c r="AH9" s="1">
        <v>600</v>
      </c>
    </row>
    <row r="10" spans="1:36" x14ac:dyDescent="0.25">
      <c r="A10" s="7" t="s">
        <v>11</v>
      </c>
      <c r="E10">
        <f>100</f>
        <v>100</v>
      </c>
      <c r="F10">
        <f>-200-600</f>
        <v>-800</v>
      </c>
      <c r="G10">
        <f>200</f>
        <v>200</v>
      </c>
      <c r="I10">
        <f>-40</f>
        <v>-40</v>
      </c>
      <c r="K10">
        <f>600</f>
        <v>600</v>
      </c>
      <c r="L10">
        <f>-20+20</f>
        <v>0</v>
      </c>
      <c r="AG10" s="1">
        <f t="shared" si="1"/>
        <v>60</v>
      </c>
      <c r="AH10" s="1">
        <f>-500</f>
        <v>-500</v>
      </c>
    </row>
    <row r="11" spans="1:36" x14ac:dyDescent="0.25">
      <c r="A11" s="7" t="s">
        <v>12</v>
      </c>
      <c r="B11">
        <f>30</f>
        <v>30</v>
      </c>
      <c r="F11">
        <f>70</f>
        <v>70</v>
      </c>
      <c r="H11">
        <f>100+100</f>
        <v>200</v>
      </c>
      <c r="K11">
        <f>80</f>
        <v>80</v>
      </c>
      <c r="R11">
        <f>60</f>
        <v>60</v>
      </c>
      <c r="T11">
        <f>60</f>
        <v>60</v>
      </c>
      <c r="AG11" s="1">
        <f t="shared" si="1"/>
        <v>500</v>
      </c>
      <c r="AH11" s="1">
        <v>800</v>
      </c>
    </row>
    <row r="12" spans="1:36" x14ac:dyDescent="0.25">
      <c r="A12" s="9" t="s">
        <v>13</v>
      </c>
      <c r="AG12" s="1">
        <f t="shared" si="1"/>
        <v>0</v>
      </c>
      <c r="AH12" s="1">
        <v>500</v>
      </c>
    </row>
    <row r="13" spans="1:36" s="12" customFormat="1" x14ac:dyDescent="0.25">
      <c r="A13" s="10" t="s">
        <v>14</v>
      </c>
      <c r="B13" s="11">
        <f>SUM(B2:B12)</f>
        <v>120</v>
      </c>
      <c r="C13" s="11">
        <f t="shared" ref="C13:AF13" si="2">SUM(C2:C12)</f>
        <v>45</v>
      </c>
      <c r="D13" s="11">
        <f t="shared" si="2"/>
        <v>554</v>
      </c>
      <c r="E13" s="11">
        <f t="shared" si="2"/>
        <v>170</v>
      </c>
      <c r="F13" s="11">
        <f t="shared" si="2"/>
        <v>-649</v>
      </c>
      <c r="G13" s="11">
        <f t="shared" si="2"/>
        <v>270</v>
      </c>
      <c r="H13" s="11">
        <f t="shared" si="2"/>
        <v>244</v>
      </c>
      <c r="I13" s="11">
        <f t="shared" si="2"/>
        <v>245</v>
      </c>
      <c r="J13" s="11">
        <f t="shared" si="2"/>
        <v>45</v>
      </c>
      <c r="K13" s="11">
        <f t="shared" si="2"/>
        <v>725</v>
      </c>
      <c r="L13" s="11">
        <f t="shared" si="2"/>
        <v>417</v>
      </c>
      <c r="M13" s="11">
        <f>SUM(M2:M12)</f>
        <v>25</v>
      </c>
      <c r="N13" s="11">
        <f t="shared" si="2"/>
        <v>145</v>
      </c>
      <c r="O13" s="11">
        <f t="shared" si="2"/>
        <v>30</v>
      </c>
      <c r="P13" s="11">
        <f t="shared" si="2"/>
        <v>310</v>
      </c>
      <c r="Q13" s="11">
        <f t="shared" si="2"/>
        <v>215</v>
      </c>
      <c r="R13" s="11">
        <f t="shared" si="2"/>
        <v>474</v>
      </c>
      <c r="S13" s="11">
        <f t="shared" si="2"/>
        <v>325</v>
      </c>
      <c r="T13" s="11">
        <f t="shared" si="2"/>
        <v>105</v>
      </c>
      <c r="U13" s="11">
        <f t="shared" si="2"/>
        <v>200</v>
      </c>
      <c r="V13" s="11">
        <f t="shared" si="2"/>
        <v>0</v>
      </c>
      <c r="W13" s="11">
        <f>SUM(W3:W12)</f>
        <v>0</v>
      </c>
      <c r="X13" s="11">
        <f t="shared" si="2"/>
        <v>0</v>
      </c>
      <c r="Y13" s="11">
        <f t="shared" si="2"/>
        <v>0</v>
      </c>
      <c r="Z13" s="11">
        <f t="shared" si="2"/>
        <v>0</v>
      </c>
      <c r="AA13" s="11">
        <f t="shared" si="2"/>
        <v>0</v>
      </c>
      <c r="AB13" s="11">
        <f t="shared" si="2"/>
        <v>0</v>
      </c>
      <c r="AC13" s="11">
        <f t="shared" si="2"/>
        <v>0</v>
      </c>
      <c r="AD13" s="11">
        <f t="shared" si="2"/>
        <v>0</v>
      </c>
      <c r="AE13" s="11">
        <f t="shared" si="2"/>
        <v>0</v>
      </c>
      <c r="AF13" s="11">
        <f t="shared" si="2"/>
        <v>0</v>
      </c>
      <c r="AG13" s="11">
        <f>SUM(AG2:AG5,AG6:AG12)</f>
        <v>4015</v>
      </c>
      <c r="AH13" s="11">
        <f>SUM(AH2:AH5,AH6:AH12)</f>
        <v>6200</v>
      </c>
      <c r="AJ13"/>
    </row>
    <row r="14" spans="1:36" x14ac:dyDescent="0.25">
      <c r="A14" s="13"/>
    </row>
    <row r="15" spans="1:36" ht="15.75" thickBot="1" x14ac:dyDescent="0.3">
      <c r="A15" s="14" t="s">
        <v>15</v>
      </c>
      <c r="C15" s="15" t="s">
        <v>16</v>
      </c>
      <c r="D15" s="15" t="s">
        <v>17</v>
      </c>
    </row>
    <row r="16" spans="1:36" ht="15.75" thickBot="1" x14ac:dyDescent="0.3">
      <c r="A16" s="16">
        <v>15000</v>
      </c>
      <c r="C16" s="1" t="s">
        <v>18</v>
      </c>
      <c r="D16" s="1">
        <v>7300</v>
      </c>
    </row>
    <row r="17" spans="1:4" ht="15.75" thickBot="1" x14ac:dyDescent="0.3">
      <c r="A17" s="17" t="s">
        <v>19</v>
      </c>
      <c r="C17" s="1" t="s">
        <v>20</v>
      </c>
      <c r="D17" s="1">
        <v>365</v>
      </c>
    </row>
    <row r="18" spans="1:4" ht="15.75" thickBot="1" x14ac:dyDescent="0.3">
      <c r="A18" s="16">
        <f>A16-D20-AG13</f>
        <v>2320</v>
      </c>
      <c r="C18" s="1" t="s">
        <v>22</v>
      </c>
      <c r="D18" s="1">
        <v>1000</v>
      </c>
    </row>
    <row r="19" spans="1:4" ht="15.75" thickBot="1" x14ac:dyDescent="0.3">
      <c r="A19" s="17" t="s">
        <v>21</v>
      </c>
      <c r="C19" s="1" t="s">
        <v>6</v>
      </c>
      <c r="D19" s="1">
        <v>0</v>
      </c>
    </row>
    <row r="20" spans="1:4" ht="15.75" thickBot="1" x14ac:dyDescent="0.3">
      <c r="A20" s="16">
        <f>A16-D20-AH13</f>
        <v>135</v>
      </c>
      <c r="C20" s="11" t="s">
        <v>14</v>
      </c>
      <c r="D20" s="11">
        <f>SUM(D16:D19)</f>
        <v>8665</v>
      </c>
    </row>
  </sheetData>
  <customSheetViews>
    <customSheetView guid="{034CB6A1-024A-4E1B-8E88-EEF2FEA56B01}">
      <pane xSplit="1" topLeftCell="K1" activePane="topRight" state="frozen"/>
      <selection pane="topRight" activeCell="P4" sqref="P4"/>
      <pageMargins left="0.7" right="0.7" top="0.75" bottom="0.75" header="0.3" footer="0.3"/>
      <pageSetup paperSize="9" orientation="portrait" verticalDpi="300" r:id="rId1"/>
    </customSheetView>
  </customSheetViews>
  <pageMargins left="0.7" right="0.7" top="0.75" bottom="0.75" header="0.3" footer="0.3"/>
  <pageSetup paperSize="9" orientation="portrait" verticalDpi="300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2"/>
  <sheetViews>
    <sheetView workbookViewId="0">
      <pane xSplit="1" topLeftCell="S1" activePane="topRight" state="frozen"/>
      <selection pane="topRight" activeCell="AC10" sqref="AC10"/>
    </sheetView>
  </sheetViews>
  <sheetFormatPr defaultRowHeight="15" x14ac:dyDescent="0.25"/>
  <cols>
    <col min="1" max="1" width="23.5703125" customWidth="1"/>
    <col min="3" max="3" width="9.85546875" customWidth="1"/>
    <col min="29" max="29" width="17.85546875" customWidth="1"/>
    <col min="30" max="30" width="17.42578125" customWidth="1"/>
  </cols>
  <sheetData>
    <row r="1" spans="1:32" x14ac:dyDescent="0.25">
      <c r="A1" s="1"/>
      <c r="B1" s="2">
        <v>41886</v>
      </c>
      <c r="C1" s="2">
        <f>B1+1</f>
        <v>41887</v>
      </c>
      <c r="D1" s="2">
        <f>C1+1</f>
        <v>41888</v>
      </c>
      <c r="E1" s="2">
        <f t="shared" ref="E1:AB1" si="0">D1+1</f>
        <v>41889</v>
      </c>
      <c r="F1" s="2">
        <f t="shared" si="0"/>
        <v>41890</v>
      </c>
      <c r="G1" s="2">
        <f t="shared" si="0"/>
        <v>41891</v>
      </c>
      <c r="H1" s="2">
        <f t="shared" si="0"/>
        <v>41892</v>
      </c>
      <c r="I1" s="2">
        <f t="shared" si="0"/>
        <v>41893</v>
      </c>
      <c r="J1" s="2">
        <f t="shared" si="0"/>
        <v>41894</v>
      </c>
      <c r="K1" s="2">
        <f t="shared" si="0"/>
        <v>41895</v>
      </c>
      <c r="L1" s="2">
        <f t="shared" si="0"/>
        <v>41896</v>
      </c>
      <c r="M1" s="2">
        <f t="shared" si="0"/>
        <v>41897</v>
      </c>
      <c r="N1" s="2">
        <f t="shared" si="0"/>
        <v>41898</v>
      </c>
      <c r="O1" s="2">
        <f t="shared" si="0"/>
        <v>41899</v>
      </c>
      <c r="P1" s="2">
        <f t="shared" si="0"/>
        <v>41900</v>
      </c>
      <c r="Q1" s="2">
        <f t="shared" si="0"/>
        <v>41901</v>
      </c>
      <c r="R1" s="2">
        <f t="shared" si="0"/>
        <v>41902</v>
      </c>
      <c r="S1" s="2">
        <f t="shared" si="0"/>
        <v>41903</v>
      </c>
      <c r="T1" s="2">
        <f t="shared" si="0"/>
        <v>41904</v>
      </c>
      <c r="U1" s="2">
        <f t="shared" si="0"/>
        <v>41905</v>
      </c>
      <c r="V1" s="2">
        <f t="shared" si="0"/>
        <v>41906</v>
      </c>
      <c r="W1" s="2">
        <f t="shared" si="0"/>
        <v>41907</v>
      </c>
      <c r="X1" s="2">
        <f t="shared" si="0"/>
        <v>41908</v>
      </c>
      <c r="Y1" s="2">
        <f t="shared" si="0"/>
        <v>41909</v>
      </c>
      <c r="Z1" s="2">
        <f t="shared" si="0"/>
        <v>41910</v>
      </c>
      <c r="AA1" s="2">
        <f t="shared" si="0"/>
        <v>41911</v>
      </c>
      <c r="AB1" s="2">
        <f t="shared" si="0"/>
        <v>41912</v>
      </c>
      <c r="AC1" s="3" t="s">
        <v>0</v>
      </c>
      <c r="AD1" s="3" t="s">
        <v>1</v>
      </c>
    </row>
    <row r="2" spans="1:32" x14ac:dyDescent="0.25">
      <c r="A2" s="7" t="s">
        <v>2</v>
      </c>
      <c r="B2">
        <f>100+200</f>
        <v>300</v>
      </c>
      <c r="I2">
        <f>30</f>
        <v>30</v>
      </c>
      <c r="AC2" s="1">
        <f t="shared" ref="AC2:AC12" si="1">SUM(B2:AB2)</f>
        <v>330</v>
      </c>
      <c r="AD2" s="1">
        <f>500</f>
        <v>500</v>
      </c>
    </row>
    <row r="3" spans="1:32" x14ac:dyDescent="0.25">
      <c r="A3" s="6" t="s">
        <v>3</v>
      </c>
      <c r="H3">
        <f>40</f>
        <v>40</v>
      </c>
      <c r="I3">
        <f>80+30</f>
        <v>110</v>
      </c>
      <c r="P3">
        <f>63</f>
        <v>63</v>
      </c>
      <c r="AC3" s="1">
        <f t="shared" si="1"/>
        <v>213</v>
      </c>
      <c r="AD3" s="1">
        <v>200</v>
      </c>
    </row>
    <row r="4" spans="1:32" x14ac:dyDescent="0.25">
      <c r="A4" s="7" t="s">
        <v>4</v>
      </c>
      <c r="C4">
        <f>100</f>
        <v>100</v>
      </c>
      <c r="D4">
        <f>-100</f>
        <v>-100</v>
      </c>
      <c r="F4">
        <f>45</f>
        <v>45</v>
      </c>
      <c r="G4">
        <f>45</f>
        <v>45</v>
      </c>
      <c r="H4">
        <f>25</f>
        <v>25</v>
      </c>
      <c r="I4">
        <f>10</f>
        <v>10</v>
      </c>
      <c r="M4">
        <f>10+20</f>
        <v>30</v>
      </c>
      <c r="P4">
        <f>20</f>
        <v>20</v>
      </c>
      <c r="Q4">
        <f>10+20</f>
        <v>30</v>
      </c>
      <c r="X4" s="8"/>
      <c r="Y4" s="8"/>
      <c r="AC4" s="1">
        <f t="shared" si="1"/>
        <v>205</v>
      </c>
      <c r="AD4" s="1">
        <v>300</v>
      </c>
    </row>
    <row r="5" spans="1:32" x14ac:dyDescent="0.25">
      <c r="A5" s="7" t="s">
        <v>5</v>
      </c>
      <c r="E5">
        <f>500</f>
        <v>500</v>
      </c>
      <c r="G5" s="18"/>
      <c r="I5">
        <f>1000</f>
        <v>1000</v>
      </c>
      <c r="K5">
        <f>-65</f>
        <v>-65</v>
      </c>
      <c r="M5">
        <f>100</f>
        <v>100</v>
      </c>
      <c r="V5" s="8"/>
      <c r="W5" s="8"/>
      <c r="X5" s="8"/>
      <c r="Y5" s="8"/>
      <c r="AC5" s="1">
        <f t="shared" si="1"/>
        <v>1535</v>
      </c>
      <c r="AD5" s="1">
        <v>400</v>
      </c>
    </row>
    <row r="6" spans="1:32" x14ac:dyDescent="0.25">
      <c r="A6" s="7" t="s">
        <v>7</v>
      </c>
      <c r="B6">
        <f>150</f>
        <v>150</v>
      </c>
      <c r="D6">
        <f>290+500</f>
        <v>790</v>
      </c>
      <c r="E6">
        <f>160</f>
        <v>160</v>
      </c>
      <c r="F6">
        <f>-350</f>
        <v>-350</v>
      </c>
      <c r="P6">
        <f>-490</f>
        <v>-490</v>
      </c>
      <c r="Q6">
        <f>270</f>
        <v>270</v>
      </c>
      <c r="V6" s="8"/>
      <c r="W6" s="8"/>
      <c r="X6" s="8"/>
      <c r="Y6" s="8"/>
      <c r="AC6" s="1">
        <f t="shared" si="1"/>
        <v>530</v>
      </c>
      <c r="AD6" s="1">
        <v>0</v>
      </c>
    </row>
    <row r="7" spans="1:32" x14ac:dyDescent="0.25">
      <c r="A7" s="7" t="s">
        <v>8</v>
      </c>
      <c r="B7">
        <f>20</f>
        <v>20</v>
      </c>
      <c r="C7">
        <f>200</f>
        <v>200</v>
      </c>
      <c r="G7">
        <f>20</f>
        <v>20</v>
      </c>
      <c r="J7">
        <f>10</f>
        <v>10</v>
      </c>
      <c r="L7">
        <f>10</f>
        <v>10</v>
      </c>
      <c r="N7">
        <f>20</f>
        <v>20</v>
      </c>
      <c r="P7">
        <f>20</f>
        <v>20</v>
      </c>
      <c r="Q7">
        <f>30</f>
        <v>30</v>
      </c>
      <c r="V7" s="8"/>
      <c r="W7" s="8"/>
      <c r="X7" s="8"/>
      <c r="Y7" s="8"/>
      <c r="AC7" s="1">
        <f t="shared" si="1"/>
        <v>330</v>
      </c>
      <c r="AD7" s="1">
        <v>300</v>
      </c>
    </row>
    <row r="8" spans="1:32" x14ac:dyDescent="0.25">
      <c r="A8" s="7" t="s">
        <v>9</v>
      </c>
      <c r="J8">
        <f>328</f>
        <v>328</v>
      </c>
      <c r="M8">
        <f>20+20</f>
        <v>40</v>
      </c>
      <c r="V8" s="8"/>
      <c r="W8" s="8"/>
      <c r="X8" s="8"/>
      <c r="Y8" s="8"/>
      <c r="AC8" s="1">
        <f t="shared" si="1"/>
        <v>368</v>
      </c>
      <c r="AD8" s="1">
        <v>200</v>
      </c>
    </row>
    <row r="9" spans="1:32" x14ac:dyDescent="0.25">
      <c r="A9" s="7" t="s">
        <v>10</v>
      </c>
      <c r="I9">
        <f>30+70+100+150</f>
        <v>350</v>
      </c>
      <c r="J9">
        <f>10</f>
        <v>10</v>
      </c>
      <c r="L9">
        <f>5+20</f>
        <v>25</v>
      </c>
      <c r="M9">
        <f>20</f>
        <v>20</v>
      </c>
      <c r="N9">
        <f>15</f>
        <v>15</v>
      </c>
      <c r="P9">
        <f>30+60+15+60</f>
        <v>165</v>
      </c>
      <c r="Q9">
        <f>100+100+5</f>
        <v>205</v>
      </c>
      <c r="V9" s="8"/>
      <c r="X9" s="8"/>
      <c r="Y9" s="8"/>
      <c r="AC9" s="1">
        <f t="shared" si="1"/>
        <v>790</v>
      </c>
      <c r="AD9" s="1">
        <v>500</v>
      </c>
    </row>
    <row r="10" spans="1:32" x14ac:dyDescent="0.25">
      <c r="A10" s="7" t="s">
        <v>11</v>
      </c>
      <c r="B10">
        <f>-50</f>
        <v>-50</v>
      </c>
      <c r="H10">
        <f>-3500</f>
        <v>-3500</v>
      </c>
      <c r="P10">
        <f>-100</f>
        <v>-100</v>
      </c>
      <c r="AC10" s="1">
        <f t="shared" si="1"/>
        <v>-3650</v>
      </c>
      <c r="AD10" s="1">
        <f>-3500</f>
        <v>-3500</v>
      </c>
    </row>
    <row r="11" spans="1:32" x14ac:dyDescent="0.25">
      <c r="A11" s="7" t="s">
        <v>12</v>
      </c>
      <c r="F11">
        <f>50</f>
        <v>50</v>
      </c>
      <c r="N11">
        <f>15+60</f>
        <v>75</v>
      </c>
      <c r="O11">
        <f>10+550</f>
        <v>560</v>
      </c>
      <c r="P11">
        <f>10</f>
        <v>10</v>
      </c>
      <c r="AC11" s="1">
        <f t="shared" si="1"/>
        <v>695</v>
      </c>
      <c r="AD11" s="1">
        <f>500</f>
        <v>500</v>
      </c>
    </row>
    <row r="12" spans="1:32" x14ac:dyDescent="0.25">
      <c r="A12" s="9" t="s">
        <v>13</v>
      </c>
      <c r="AC12" s="1">
        <f t="shared" si="1"/>
        <v>0</v>
      </c>
      <c r="AD12" s="1">
        <f>500</f>
        <v>500</v>
      </c>
    </row>
    <row r="13" spans="1:32" s="12" customFormat="1" x14ac:dyDescent="0.25">
      <c r="A13" s="10" t="s">
        <v>14</v>
      </c>
      <c r="B13" s="11">
        <f>SUM(B2:B12)</f>
        <v>420</v>
      </c>
      <c r="C13" s="11">
        <f t="shared" ref="C13:AB13" si="2">SUM(C2:C12)</f>
        <v>300</v>
      </c>
      <c r="D13" s="11">
        <f t="shared" si="2"/>
        <v>690</v>
      </c>
      <c r="E13" s="11">
        <f t="shared" si="2"/>
        <v>660</v>
      </c>
      <c r="F13" s="11">
        <f t="shared" si="2"/>
        <v>-255</v>
      </c>
      <c r="G13" s="11">
        <f t="shared" si="2"/>
        <v>65</v>
      </c>
      <c r="H13" s="11">
        <f t="shared" si="2"/>
        <v>-3435</v>
      </c>
      <c r="I13" s="11">
        <f t="shared" si="2"/>
        <v>1500</v>
      </c>
      <c r="J13" s="11">
        <f t="shared" si="2"/>
        <v>348</v>
      </c>
      <c r="K13" s="11">
        <f t="shared" si="2"/>
        <v>-65</v>
      </c>
      <c r="L13" s="11">
        <f t="shared" si="2"/>
        <v>35</v>
      </c>
      <c r="M13" s="11">
        <f>SUM(M2:M12)</f>
        <v>190</v>
      </c>
      <c r="N13" s="11">
        <f t="shared" si="2"/>
        <v>110</v>
      </c>
      <c r="O13" s="11">
        <f t="shared" si="2"/>
        <v>560</v>
      </c>
      <c r="P13" s="11">
        <f t="shared" si="2"/>
        <v>-312</v>
      </c>
      <c r="Q13" s="11">
        <f t="shared" si="2"/>
        <v>535</v>
      </c>
      <c r="R13" s="11">
        <f t="shared" si="2"/>
        <v>0</v>
      </c>
      <c r="S13" s="11">
        <f t="shared" si="2"/>
        <v>0</v>
      </c>
      <c r="T13" s="11">
        <f t="shared" si="2"/>
        <v>0</v>
      </c>
      <c r="U13" s="11">
        <f t="shared" si="2"/>
        <v>0</v>
      </c>
      <c r="V13" s="11">
        <f t="shared" si="2"/>
        <v>0</v>
      </c>
      <c r="W13" s="11">
        <f>SUM(W3:W12)</f>
        <v>0</v>
      </c>
      <c r="X13" s="11">
        <f t="shared" si="2"/>
        <v>0</v>
      </c>
      <c r="Y13" s="11">
        <f t="shared" si="2"/>
        <v>0</v>
      </c>
      <c r="Z13" s="11">
        <f t="shared" si="2"/>
        <v>0</v>
      </c>
      <c r="AA13" s="11">
        <f t="shared" si="2"/>
        <v>0</v>
      </c>
      <c r="AB13" s="11">
        <f t="shared" si="2"/>
        <v>0</v>
      </c>
      <c r="AC13" s="11">
        <f>SUM(AC2:AC5,AC6:AC12)</f>
        <v>1346</v>
      </c>
      <c r="AD13" s="11">
        <f>SUM(AD2:AD5,AD6:AD12)</f>
        <v>-100</v>
      </c>
      <c r="AF13"/>
    </row>
    <row r="14" spans="1:32" x14ac:dyDescent="0.25">
      <c r="A14" s="13"/>
    </row>
    <row r="15" spans="1:32" ht="15.75" thickBot="1" x14ac:dyDescent="0.3">
      <c r="A15" s="14" t="s">
        <v>15</v>
      </c>
      <c r="C15" s="15" t="s">
        <v>16</v>
      </c>
      <c r="D15" s="15" t="s">
        <v>17</v>
      </c>
    </row>
    <row r="16" spans="1:32" ht="15.75" thickBot="1" x14ac:dyDescent="0.3">
      <c r="A16" s="16">
        <v>25000</v>
      </c>
      <c r="C16" s="1" t="s">
        <v>18</v>
      </c>
      <c r="D16" s="1">
        <v>3000</v>
      </c>
    </row>
    <row r="17" spans="1:4" ht="15.75" thickBot="1" x14ac:dyDescent="0.3">
      <c r="A17" s="17" t="s">
        <v>19</v>
      </c>
      <c r="C17" s="1" t="s">
        <v>20</v>
      </c>
      <c r="D17" s="1">
        <v>600</v>
      </c>
    </row>
    <row r="18" spans="1:4" ht="15.75" thickBot="1" x14ac:dyDescent="0.3">
      <c r="A18" s="16">
        <f>A16-D19-AC13</f>
        <v>54</v>
      </c>
      <c r="C18" s="1" t="s">
        <v>22</v>
      </c>
      <c r="D18" s="1">
        <v>20000</v>
      </c>
    </row>
    <row r="19" spans="1:4" ht="15.75" thickBot="1" x14ac:dyDescent="0.3">
      <c r="A19" s="17" t="s">
        <v>21</v>
      </c>
      <c r="C19" s="11" t="s">
        <v>14</v>
      </c>
      <c r="D19" s="11">
        <f>SUM(D16:D18)</f>
        <v>23600</v>
      </c>
    </row>
    <row r="20" spans="1:4" ht="15.75" thickBot="1" x14ac:dyDescent="0.3">
      <c r="A20" s="16">
        <f>A16-D19-AD13</f>
        <v>1500</v>
      </c>
    </row>
    <row r="22" spans="1:4" x14ac:dyDescent="0.25">
      <c r="A22" s="19" t="s">
        <v>23</v>
      </c>
    </row>
  </sheetData>
  <hyperlinks>
    <hyperlink ref="A22" r:id="rId1"/>
  </hyperlinks>
  <pageMargins left="0.7" right="0.7" top="0.75" bottom="0.75" header="0.3" footer="0.3"/>
  <pageSetup paperSize="9" orientation="portrait" verticalDpi="300" r:id="rId2"/>
  <ignoredErrors>
    <ignoredError sqref="J8" formula="1"/>
  </ignoredErrors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7"/>
  <sheetViews>
    <sheetView workbookViewId="0">
      <pane xSplit="1" topLeftCell="B1" activePane="topRight" state="frozen"/>
      <selection pane="topRight" activeCell="B10" sqref="B10"/>
    </sheetView>
  </sheetViews>
  <sheetFormatPr defaultRowHeight="15" x14ac:dyDescent="0.25"/>
  <cols>
    <col min="1" max="1" width="23.5703125" customWidth="1"/>
    <col min="3" max="3" width="9.85546875" customWidth="1"/>
    <col min="12" max="12" width="17.85546875" customWidth="1"/>
    <col min="13" max="13" width="17.42578125" customWidth="1"/>
  </cols>
  <sheetData>
    <row r="1" spans="1:15" x14ac:dyDescent="0.25">
      <c r="A1" s="1"/>
      <c r="B1" s="2">
        <v>41934</v>
      </c>
      <c r="C1" s="2">
        <f>B1+1</f>
        <v>41935</v>
      </c>
      <c r="D1" s="2">
        <f>C1+1</f>
        <v>41936</v>
      </c>
      <c r="E1" s="2">
        <f t="shared" ref="E1:K1" si="0">D1+1</f>
        <v>41937</v>
      </c>
      <c r="F1" s="2">
        <f t="shared" si="0"/>
        <v>41938</v>
      </c>
      <c r="G1" s="2">
        <f t="shared" si="0"/>
        <v>41939</v>
      </c>
      <c r="H1" s="2">
        <f t="shared" si="0"/>
        <v>41940</v>
      </c>
      <c r="I1" s="2">
        <f t="shared" si="0"/>
        <v>41941</v>
      </c>
      <c r="J1" s="2">
        <f t="shared" si="0"/>
        <v>41942</v>
      </c>
      <c r="K1" s="2">
        <f t="shared" si="0"/>
        <v>41943</v>
      </c>
      <c r="L1" s="3" t="s">
        <v>0</v>
      </c>
      <c r="M1" s="3" t="s">
        <v>1</v>
      </c>
    </row>
    <row r="2" spans="1:15" x14ac:dyDescent="0.25">
      <c r="A2" s="6" t="s">
        <v>24</v>
      </c>
      <c r="D2">
        <f>130</f>
        <v>130</v>
      </c>
      <c r="G2">
        <f>500</f>
        <v>500</v>
      </c>
      <c r="L2" s="1">
        <f t="shared" ref="L2:L7" si="1">SUM(B2:K2)</f>
        <v>630</v>
      </c>
      <c r="M2" s="1">
        <v>100</v>
      </c>
    </row>
    <row r="3" spans="1:15" x14ac:dyDescent="0.25">
      <c r="A3" s="7" t="s">
        <v>4</v>
      </c>
      <c r="B3">
        <f>10</f>
        <v>10</v>
      </c>
      <c r="C3">
        <f>20+20+10</f>
        <v>50</v>
      </c>
      <c r="D3">
        <f>1</f>
        <v>1</v>
      </c>
      <c r="E3">
        <f>18+10</f>
        <v>28</v>
      </c>
      <c r="G3">
        <f>10+10+20+20</f>
        <v>60</v>
      </c>
      <c r="H3">
        <f>30</f>
        <v>30</v>
      </c>
      <c r="L3" s="1">
        <f t="shared" si="1"/>
        <v>179</v>
      </c>
      <c r="M3" s="1">
        <v>100</v>
      </c>
    </row>
    <row r="4" spans="1:15" x14ac:dyDescent="0.25">
      <c r="A4" s="7" t="s">
        <v>5</v>
      </c>
      <c r="G4" s="18"/>
      <c r="L4" s="1">
        <f t="shared" si="1"/>
        <v>0</v>
      </c>
      <c r="M4" s="1">
        <v>0</v>
      </c>
    </row>
    <row r="5" spans="1:15" x14ac:dyDescent="0.25">
      <c r="A5" s="7" t="s">
        <v>7</v>
      </c>
      <c r="B5">
        <f>10</f>
        <v>10</v>
      </c>
      <c r="L5" s="1">
        <f t="shared" si="1"/>
        <v>10</v>
      </c>
      <c r="M5" s="1">
        <v>0</v>
      </c>
    </row>
    <row r="6" spans="1:15" x14ac:dyDescent="0.25">
      <c r="A6" s="7" t="s">
        <v>8</v>
      </c>
      <c r="B6">
        <f>20</f>
        <v>20</v>
      </c>
      <c r="C6">
        <f>10</f>
        <v>10</v>
      </c>
      <c r="D6">
        <f>10</f>
        <v>10</v>
      </c>
      <c r="E6">
        <f>20</f>
        <v>20</v>
      </c>
      <c r="F6">
        <f>20+20</f>
        <v>40</v>
      </c>
      <c r="L6" s="1">
        <f t="shared" si="1"/>
        <v>100</v>
      </c>
      <c r="M6" s="1">
        <v>100</v>
      </c>
    </row>
    <row r="7" spans="1:15" x14ac:dyDescent="0.25">
      <c r="A7" s="7" t="s">
        <v>9</v>
      </c>
      <c r="B7">
        <f>100</f>
        <v>100</v>
      </c>
      <c r="D7">
        <f>140</f>
        <v>140</v>
      </c>
      <c r="F7">
        <f>80</f>
        <v>80</v>
      </c>
      <c r="L7" s="1">
        <f t="shared" si="1"/>
        <v>320</v>
      </c>
      <c r="M7" s="1">
        <v>200</v>
      </c>
    </row>
    <row r="8" spans="1:15" x14ac:dyDescent="0.25">
      <c r="A8" s="7" t="s">
        <v>25</v>
      </c>
      <c r="L8" s="1">
        <f t="shared" ref="L8:L9" si="2">SUM(B8:K8)</f>
        <v>0</v>
      </c>
      <c r="M8" s="1">
        <v>100</v>
      </c>
    </row>
    <row r="9" spans="1:15" x14ac:dyDescent="0.25">
      <c r="A9" s="7" t="s">
        <v>26</v>
      </c>
      <c r="B9">
        <f>500</f>
        <v>500</v>
      </c>
      <c r="G9">
        <f>60</f>
        <v>60</v>
      </c>
      <c r="L9" s="1">
        <f t="shared" si="2"/>
        <v>560</v>
      </c>
      <c r="M9" s="1">
        <v>100</v>
      </c>
    </row>
    <row r="10" spans="1:15" x14ac:dyDescent="0.25">
      <c r="A10" s="7" t="s">
        <v>10</v>
      </c>
      <c r="B10">
        <f>200+50</f>
        <v>250</v>
      </c>
      <c r="F10">
        <f>200</f>
        <v>200</v>
      </c>
      <c r="G10">
        <f>10+10</f>
        <v>20</v>
      </c>
      <c r="H10">
        <f>10</f>
        <v>10</v>
      </c>
      <c r="L10" s="1">
        <f>SUM(B10:K10)</f>
        <v>480</v>
      </c>
      <c r="M10" s="1">
        <v>100</v>
      </c>
    </row>
    <row r="11" spans="1:15" x14ac:dyDescent="0.25">
      <c r="A11" s="7" t="s">
        <v>11</v>
      </c>
      <c r="L11" s="1">
        <f>SUM(B11:K11)</f>
        <v>0</v>
      </c>
      <c r="M11" s="1">
        <v>0</v>
      </c>
    </row>
    <row r="12" spans="1:15" x14ac:dyDescent="0.25">
      <c r="A12" s="7" t="s">
        <v>12</v>
      </c>
      <c r="L12" s="1">
        <f>SUM(B12:K12)</f>
        <v>0</v>
      </c>
      <c r="M12" s="1">
        <v>0</v>
      </c>
    </row>
    <row r="13" spans="1:15" x14ac:dyDescent="0.25">
      <c r="A13" s="9" t="s">
        <v>13</v>
      </c>
      <c r="L13" s="1">
        <f>SUM(B13:K13)</f>
        <v>0</v>
      </c>
      <c r="M13" s="1">
        <v>0</v>
      </c>
    </row>
    <row r="14" spans="1:15" s="12" customFormat="1" x14ac:dyDescent="0.25">
      <c r="A14" s="10" t="s">
        <v>14</v>
      </c>
      <c r="B14" s="11">
        <f t="shared" ref="B14:K14" si="3">SUM(B2:B13)</f>
        <v>890</v>
      </c>
      <c r="C14" s="11">
        <f t="shared" si="3"/>
        <v>60</v>
      </c>
      <c r="D14" s="11">
        <f t="shared" si="3"/>
        <v>281</v>
      </c>
      <c r="E14" s="11">
        <f t="shared" si="3"/>
        <v>48</v>
      </c>
      <c r="F14" s="11">
        <f t="shared" si="3"/>
        <v>320</v>
      </c>
      <c r="G14" s="11">
        <f t="shared" si="3"/>
        <v>640</v>
      </c>
      <c r="H14" s="11">
        <f t="shared" si="3"/>
        <v>40</v>
      </c>
      <c r="I14" s="11">
        <f t="shared" si="3"/>
        <v>0</v>
      </c>
      <c r="J14" s="11">
        <f t="shared" si="3"/>
        <v>0</v>
      </c>
      <c r="K14" s="11">
        <f t="shared" si="3"/>
        <v>0</v>
      </c>
      <c r="L14" s="11">
        <f>SUM(L2:L4,L5:L13)</f>
        <v>2279</v>
      </c>
      <c r="M14" s="11">
        <f>SUM(M2:M4,M6:M13)</f>
        <v>800</v>
      </c>
      <c r="O14"/>
    </row>
    <row r="15" spans="1:15" x14ac:dyDescent="0.25">
      <c r="A15" s="13"/>
    </row>
    <row r="17" spans="1:1" x14ac:dyDescent="0.25">
      <c r="A17" s="19" t="s">
        <v>23</v>
      </c>
    </row>
  </sheetData>
  <hyperlinks>
    <hyperlink ref="A17" r:id="rId1"/>
  </hyperlinks>
  <pageMargins left="0.7" right="0.7" top="0.75" bottom="0.75" header="0.3" footer="0.3"/>
  <pageSetup paperSize="9" orientation="portrait" verticalDpi="300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"/>
  <sheetViews>
    <sheetView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1" max="1" width="23.5703125" customWidth="1"/>
    <col min="3" max="25" width="9.85546875" customWidth="1"/>
    <col min="26" max="26" width="17.85546875" customWidth="1"/>
    <col min="27" max="27" width="17.42578125" customWidth="1"/>
  </cols>
  <sheetData>
    <row r="1" spans="1:27" x14ac:dyDescent="0.25">
      <c r="A1" s="1"/>
      <c r="B1" s="2">
        <v>41950</v>
      </c>
      <c r="C1" s="2">
        <f>B1+1</f>
        <v>41951</v>
      </c>
      <c r="D1" s="2">
        <f>C1+1</f>
        <v>41952</v>
      </c>
      <c r="E1" s="2">
        <f t="shared" ref="E1:Y1" si="0">D1+1</f>
        <v>41953</v>
      </c>
      <c r="F1" s="2">
        <f t="shared" si="0"/>
        <v>41954</v>
      </c>
      <c r="G1" s="2">
        <f t="shared" si="0"/>
        <v>41955</v>
      </c>
      <c r="H1" s="2">
        <f t="shared" si="0"/>
        <v>41956</v>
      </c>
      <c r="I1" s="2">
        <f t="shared" si="0"/>
        <v>41957</v>
      </c>
      <c r="J1" s="2">
        <f t="shared" si="0"/>
        <v>41958</v>
      </c>
      <c r="K1" s="2">
        <f t="shared" si="0"/>
        <v>41959</v>
      </c>
      <c r="L1" s="2">
        <f t="shared" si="0"/>
        <v>41960</v>
      </c>
      <c r="M1" s="2">
        <f t="shared" si="0"/>
        <v>41961</v>
      </c>
      <c r="N1" s="2">
        <f t="shared" si="0"/>
        <v>41962</v>
      </c>
      <c r="O1" s="2">
        <f t="shared" si="0"/>
        <v>41963</v>
      </c>
      <c r="P1" s="2">
        <f t="shared" si="0"/>
        <v>41964</v>
      </c>
      <c r="Q1" s="2">
        <f t="shared" si="0"/>
        <v>41965</v>
      </c>
      <c r="R1" s="2">
        <f t="shared" si="0"/>
        <v>41966</v>
      </c>
      <c r="S1" s="2">
        <f t="shared" si="0"/>
        <v>41967</v>
      </c>
      <c r="T1" s="2">
        <f t="shared" si="0"/>
        <v>41968</v>
      </c>
      <c r="U1" s="2">
        <f t="shared" si="0"/>
        <v>41969</v>
      </c>
      <c r="V1" s="2">
        <f t="shared" si="0"/>
        <v>41970</v>
      </c>
      <c r="W1" s="2">
        <f t="shared" si="0"/>
        <v>41971</v>
      </c>
      <c r="X1" s="2">
        <f t="shared" si="0"/>
        <v>41972</v>
      </c>
      <c r="Y1" s="2">
        <f t="shared" si="0"/>
        <v>41973</v>
      </c>
      <c r="Z1" s="3" t="s">
        <v>0</v>
      </c>
      <c r="AA1" s="3" t="s">
        <v>1</v>
      </c>
    </row>
    <row r="2" spans="1:27" x14ac:dyDescent="0.25">
      <c r="A2" s="6" t="s">
        <v>24</v>
      </c>
      <c r="C2">
        <f>80</f>
        <v>80</v>
      </c>
      <c r="G2">
        <f>40</f>
        <v>40</v>
      </c>
      <c r="H2">
        <f>85</f>
        <v>85</v>
      </c>
      <c r="I2">
        <f>100</f>
        <v>100</v>
      </c>
      <c r="O2">
        <f>2500</f>
        <v>2500</v>
      </c>
      <c r="S2">
        <f>300</f>
        <v>300</v>
      </c>
      <c r="T2">
        <f>10</f>
        <v>10</v>
      </c>
      <c r="U2">
        <f>10</f>
        <v>10</v>
      </c>
      <c r="W2">
        <f>30</f>
        <v>30</v>
      </c>
      <c r="Z2" s="1">
        <f t="shared" ref="Z2:Z13" si="1">SUM(B2:Y2)</f>
        <v>3155</v>
      </c>
      <c r="AA2" s="1">
        <v>500</v>
      </c>
    </row>
    <row r="3" spans="1:27" x14ac:dyDescent="0.25">
      <c r="A3" s="7" t="s">
        <v>4</v>
      </c>
      <c r="G3">
        <f>15</f>
        <v>15</v>
      </c>
      <c r="T3">
        <f>40</f>
        <v>40</v>
      </c>
      <c r="U3">
        <f>60</f>
        <v>60</v>
      </c>
      <c r="Z3" s="1">
        <f t="shared" si="1"/>
        <v>115</v>
      </c>
      <c r="AA3" s="1">
        <v>300</v>
      </c>
    </row>
    <row r="4" spans="1:27" x14ac:dyDescent="0.25">
      <c r="A4" s="7" t="s">
        <v>5</v>
      </c>
      <c r="B4">
        <f>30+200</f>
        <v>230</v>
      </c>
      <c r="C4">
        <f>594</f>
        <v>594</v>
      </c>
      <c r="J4">
        <f>200</f>
        <v>200</v>
      </c>
      <c r="K4">
        <f>200+185</f>
        <v>385</v>
      </c>
      <c r="Q4">
        <f>40+1200</f>
        <v>1240</v>
      </c>
      <c r="R4">
        <f>80+200</f>
        <v>280</v>
      </c>
      <c r="V4">
        <f>200+30</f>
        <v>230</v>
      </c>
      <c r="W4">
        <f>35+290</f>
        <v>325</v>
      </c>
      <c r="Y4">
        <f>190</f>
        <v>190</v>
      </c>
      <c r="Z4" s="1">
        <f t="shared" si="1"/>
        <v>3674</v>
      </c>
      <c r="AA4" s="1">
        <v>500</v>
      </c>
    </row>
    <row r="5" spans="1:27" x14ac:dyDescent="0.25">
      <c r="A5" s="7" t="s">
        <v>7</v>
      </c>
      <c r="K5">
        <f>30</f>
        <v>30</v>
      </c>
      <c r="Q5">
        <f>50</f>
        <v>50</v>
      </c>
      <c r="X5">
        <f>100</f>
        <v>100</v>
      </c>
      <c r="Z5" s="1">
        <f t="shared" si="1"/>
        <v>180</v>
      </c>
      <c r="AA5" s="1">
        <v>0</v>
      </c>
    </row>
    <row r="6" spans="1:27" x14ac:dyDescent="0.25">
      <c r="A6" s="7" t="s">
        <v>8</v>
      </c>
      <c r="E6">
        <f>20</f>
        <v>20</v>
      </c>
      <c r="G6">
        <f>20</f>
        <v>20</v>
      </c>
      <c r="H6">
        <f>10</f>
        <v>10</v>
      </c>
      <c r="I6">
        <f>50+20</f>
        <v>70</v>
      </c>
      <c r="J6">
        <f>20</f>
        <v>20</v>
      </c>
      <c r="K6">
        <f>10</f>
        <v>10</v>
      </c>
      <c r="M6">
        <f>10</f>
        <v>10</v>
      </c>
      <c r="N6">
        <f>5</f>
        <v>5</v>
      </c>
      <c r="O6">
        <f>20</f>
        <v>20</v>
      </c>
      <c r="P6">
        <f>20</f>
        <v>20</v>
      </c>
      <c r="S6">
        <f>20</f>
        <v>20</v>
      </c>
      <c r="T6">
        <f>15</f>
        <v>15</v>
      </c>
      <c r="Y6">
        <f>30</f>
        <v>30</v>
      </c>
      <c r="Z6" s="1">
        <f t="shared" si="1"/>
        <v>270</v>
      </c>
      <c r="AA6" s="1">
        <v>300</v>
      </c>
    </row>
    <row r="7" spans="1:27" x14ac:dyDescent="0.25">
      <c r="A7" s="7" t="s">
        <v>9</v>
      </c>
      <c r="D7">
        <f>130</f>
        <v>130</v>
      </c>
      <c r="F7">
        <f>240</f>
        <v>240</v>
      </c>
      <c r="G7">
        <f>40+20</f>
        <v>60</v>
      </c>
      <c r="I7" s="13">
        <f>18</f>
        <v>18</v>
      </c>
      <c r="J7">
        <f>228</f>
        <v>228</v>
      </c>
      <c r="K7">
        <f>130</f>
        <v>130</v>
      </c>
      <c r="M7">
        <f>40</f>
        <v>40</v>
      </c>
      <c r="O7">
        <f>50</f>
        <v>50</v>
      </c>
      <c r="P7" s="13">
        <f>18</f>
        <v>18</v>
      </c>
      <c r="X7">
        <f>10</f>
        <v>10</v>
      </c>
      <c r="Y7">
        <f>80</f>
        <v>80</v>
      </c>
      <c r="Z7" s="1">
        <f t="shared" si="1"/>
        <v>1004</v>
      </c>
      <c r="AA7" s="1">
        <v>500</v>
      </c>
    </row>
    <row r="8" spans="1:27" x14ac:dyDescent="0.25">
      <c r="A8" s="7" t="s">
        <v>25</v>
      </c>
      <c r="C8">
        <f>738</f>
        <v>738</v>
      </c>
      <c r="T8">
        <f>500</f>
        <v>500</v>
      </c>
      <c r="X8">
        <f>175</f>
        <v>175</v>
      </c>
      <c r="Z8" s="1">
        <f t="shared" si="1"/>
        <v>1413</v>
      </c>
      <c r="AA8" s="1">
        <v>0</v>
      </c>
    </row>
    <row r="9" spans="1:27" x14ac:dyDescent="0.25">
      <c r="A9" s="7" t="s">
        <v>26</v>
      </c>
      <c r="E9">
        <f>50</f>
        <v>50</v>
      </c>
      <c r="F9">
        <f>232</f>
        <v>232</v>
      </c>
      <c r="H9">
        <f>100</f>
        <v>100</v>
      </c>
      <c r="M9">
        <f>30+40</f>
        <v>70</v>
      </c>
      <c r="N9">
        <f>24+158</f>
        <v>182</v>
      </c>
      <c r="O9">
        <f>30</f>
        <v>30</v>
      </c>
      <c r="P9">
        <f>100</f>
        <v>100</v>
      </c>
      <c r="Q9">
        <f>200</f>
        <v>200</v>
      </c>
      <c r="Z9" s="1">
        <f t="shared" si="1"/>
        <v>964</v>
      </c>
      <c r="AA9" s="1">
        <v>2000</v>
      </c>
    </row>
    <row r="10" spans="1:27" x14ac:dyDescent="0.25">
      <c r="A10" s="7" t="s">
        <v>10</v>
      </c>
      <c r="D10">
        <f>100</f>
        <v>100</v>
      </c>
      <c r="F10">
        <f>10+10</f>
        <v>20</v>
      </c>
      <c r="G10">
        <f>100</f>
        <v>100</v>
      </c>
      <c r="J10">
        <f>15+15+10+100</f>
        <v>140</v>
      </c>
      <c r="K10">
        <f>10</f>
        <v>10</v>
      </c>
      <c r="M10">
        <f>15</f>
        <v>15</v>
      </c>
      <c r="P10">
        <f>100</f>
        <v>100</v>
      </c>
      <c r="R10">
        <f>15+10+100</f>
        <v>125</v>
      </c>
      <c r="S10">
        <f>10+20</f>
        <v>30</v>
      </c>
      <c r="W10">
        <f>100+20</f>
        <v>120</v>
      </c>
      <c r="Z10" s="1">
        <f t="shared" si="1"/>
        <v>760</v>
      </c>
      <c r="AA10" s="1">
        <v>500</v>
      </c>
    </row>
    <row r="11" spans="1:27" x14ac:dyDescent="0.25">
      <c r="A11" s="7" t="s">
        <v>11</v>
      </c>
      <c r="D11">
        <f>130</f>
        <v>130</v>
      </c>
      <c r="I11" s="20">
        <f>-4</f>
        <v>-4</v>
      </c>
      <c r="J11">
        <f>1350-1350</f>
        <v>0</v>
      </c>
      <c r="X11">
        <f>1100-2000</f>
        <v>-900</v>
      </c>
      <c r="Z11" s="1">
        <f t="shared" si="1"/>
        <v>-774</v>
      </c>
      <c r="AA11" s="1">
        <v>0</v>
      </c>
    </row>
    <row r="12" spans="1:27" x14ac:dyDescent="0.25">
      <c r="A12" s="7" t="s">
        <v>12</v>
      </c>
      <c r="I12">
        <f>74</f>
        <v>74</v>
      </c>
      <c r="Z12" s="1">
        <f t="shared" si="1"/>
        <v>74</v>
      </c>
      <c r="AA12" s="1">
        <v>300</v>
      </c>
    </row>
    <row r="13" spans="1:27" x14ac:dyDescent="0.25">
      <c r="A13" s="9" t="s">
        <v>13</v>
      </c>
      <c r="L13">
        <f>150</f>
        <v>150</v>
      </c>
      <c r="Z13" s="1">
        <f t="shared" si="1"/>
        <v>150</v>
      </c>
      <c r="AA13" s="1">
        <v>500</v>
      </c>
    </row>
    <row r="14" spans="1:27" s="12" customFormat="1" x14ac:dyDescent="0.25">
      <c r="A14" s="10" t="s">
        <v>14</v>
      </c>
      <c r="B14" s="11">
        <f t="shared" ref="B14:Y14" si="2">SUM(B2:B13)</f>
        <v>230</v>
      </c>
      <c r="C14" s="11">
        <f t="shared" si="2"/>
        <v>1412</v>
      </c>
      <c r="D14" s="11">
        <f t="shared" si="2"/>
        <v>360</v>
      </c>
      <c r="E14" s="11">
        <f t="shared" si="2"/>
        <v>70</v>
      </c>
      <c r="F14" s="11">
        <f t="shared" si="2"/>
        <v>492</v>
      </c>
      <c r="G14" s="11">
        <f t="shared" si="2"/>
        <v>235</v>
      </c>
      <c r="H14" s="11">
        <f t="shared" si="2"/>
        <v>195</v>
      </c>
      <c r="I14" s="11">
        <f t="shared" si="2"/>
        <v>258</v>
      </c>
      <c r="J14" s="11">
        <f t="shared" si="2"/>
        <v>588</v>
      </c>
      <c r="K14" s="11">
        <f t="shared" si="2"/>
        <v>565</v>
      </c>
      <c r="L14" s="11">
        <f t="shared" si="2"/>
        <v>150</v>
      </c>
      <c r="M14" s="11">
        <f t="shared" si="2"/>
        <v>135</v>
      </c>
      <c r="N14" s="11">
        <f t="shared" si="2"/>
        <v>187</v>
      </c>
      <c r="O14" s="11">
        <f t="shared" si="2"/>
        <v>2600</v>
      </c>
      <c r="P14" s="11">
        <f t="shared" si="2"/>
        <v>238</v>
      </c>
      <c r="Q14" s="11">
        <f t="shared" si="2"/>
        <v>1490</v>
      </c>
      <c r="R14" s="11">
        <f t="shared" si="2"/>
        <v>405</v>
      </c>
      <c r="S14" s="11">
        <f t="shared" si="2"/>
        <v>350</v>
      </c>
      <c r="T14" s="11">
        <f t="shared" si="2"/>
        <v>565</v>
      </c>
      <c r="U14" s="11">
        <f t="shared" si="2"/>
        <v>70</v>
      </c>
      <c r="V14" s="11">
        <f t="shared" si="2"/>
        <v>230</v>
      </c>
      <c r="W14" s="11">
        <f t="shared" si="2"/>
        <v>475</v>
      </c>
      <c r="X14" s="11">
        <f t="shared" si="2"/>
        <v>-615</v>
      </c>
      <c r="Y14" s="11">
        <f t="shared" si="2"/>
        <v>300</v>
      </c>
      <c r="Z14" s="11">
        <f>SUM(Z2:Z4,Z5:Z13)</f>
        <v>10985</v>
      </c>
      <c r="AA14" s="11">
        <f>SUM(AA2:AA4,AA6:AA13)</f>
        <v>5400</v>
      </c>
    </row>
    <row r="15" spans="1:27" x14ac:dyDescent="0.25">
      <c r="A15" s="13"/>
    </row>
    <row r="17" spans="1:1" x14ac:dyDescent="0.25">
      <c r="A17" s="19" t="s">
        <v>23</v>
      </c>
    </row>
  </sheetData>
  <hyperlinks>
    <hyperlink ref="A17" r:id="rId1"/>
  </hyperlinks>
  <pageMargins left="0.7" right="0.7" top="0.75" bottom="0.75" header="0.3" footer="0.3"/>
  <pageSetup paperSize="9" orientation="portrait" verticalDpi="300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7"/>
  <sheetViews>
    <sheetView workbookViewId="0">
      <pane xSplit="1" topLeftCell="AE1" activePane="topRight" state="frozen"/>
      <selection pane="topRight" activeCell="A14" sqref="A14"/>
    </sheetView>
  </sheetViews>
  <sheetFormatPr defaultRowHeight="15" x14ac:dyDescent="0.25"/>
  <cols>
    <col min="1" max="1" width="23.5703125" customWidth="1"/>
    <col min="3" max="32" width="9.85546875" customWidth="1"/>
    <col min="33" max="33" width="17.85546875" customWidth="1"/>
    <col min="34" max="34" width="17.42578125" customWidth="1"/>
  </cols>
  <sheetData>
    <row r="1" spans="1:34" x14ac:dyDescent="0.25">
      <c r="A1" s="1"/>
      <c r="B1" s="2">
        <v>41974</v>
      </c>
      <c r="C1" s="2">
        <f>B1+1</f>
        <v>41975</v>
      </c>
      <c r="D1" s="2">
        <f>C1+1</f>
        <v>41976</v>
      </c>
      <c r="E1" s="2">
        <f t="shared" ref="E1:W1" si="0">D1+1</f>
        <v>41977</v>
      </c>
      <c r="F1" s="2">
        <f t="shared" si="0"/>
        <v>41978</v>
      </c>
      <c r="G1" s="2">
        <f t="shared" si="0"/>
        <v>41979</v>
      </c>
      <c r="H1" s="2">
        <f t="shared" si="0"/>
        <v>41980</v>
      </c>
      <c r="I1" s="2">
        <f t="shared" si="0"/>
        <v>41981</v>
      </c>
      <c r="J1" s="2">
        <f t="shared" si="0"/>
        <v>41982</v>
      </c>
      <c r="K1" s="2">
        <f t="shared" si="0"/>
        <v>41983</v>
      </c>
      <c r="L1" s="2">
        <f t="shared" si="0"/>
        <v>41984</v>
      </c>
      <c r="M1" s="2">
        <f t="shared" si="0"/>
        <v>41985</v>
      </c>
      <c r="N1" s="2">
        <f t="shared" si="0"/>
        <v>41986</v>
      </c>
      <c r="O1" s="2">
        <f t="shared" si="0"/>
        <v>41987</v>
      </c>
      <c r="P1" s="2">
        <f t="shared" si="0"/>
        <v>41988</v>
      </c>
      <c r="Q1" s="2">
        <f t="shared" si="0"/>
        <v>41989</v>
      </c>
      <c r="R1" s="2">
        <f t="shared" si="0"/>
        <v>41990</v>
      </c>
      <c r="S1" s="2">
        <f t="shared" si="0"/>
        <v>41991</v>
      </c>
      <c r="T1" s="2">
        <f t="shared" si="0"/>
        <v>41992</v>
      </c>
      <c r="U1" s="2">
        <f t="shared" si="0"/>
        <v>41993</v>
      </c>
      <c r="V1" s="2">
        <f t="shared" si="0"/>
        <v>41994</v>
      </c>
      <c r="W1" s="2">
        <f t="shared" si="0"/>
        <v>41995</v>
      </c>
      <c r="X1" s="2">
        <f t="shared" ref="X1" si="1">W1+1</f>
        <v>41996</v>
      </c>
      <c r="Y1" s="2">
        <f t="shared" ref="Y1" si="2">X1+1</f>
        <v>41997</v>
      </c>
      <c r="Z1" s="2">
        <f t="shared" ref="Z1" si="3">Y1+1</f>
        <v>41998</v>
      </c>
      <c r="AA1" s="2">
        <f t="shared" ref="AA1" si="4">Z1+1</f>
        <v>41999</v>
      </c>
      <c r="AB1" s="2">
        <f t="shared" ref="AB1" si="5">AA1+1</f>
        <v>42000</v>
      </c>
      <c r="AC1" s="2">
        <f t="shared" ref="AC1" si="6">AB1+1</f>
        <v>42001</v>
      </c>
      <c r="AD1" s="2">
        <f t="shared" ref="AD1" si="7">AC1+1</f>
        <v>42002</v>
      </c>
      <c r="AE1" s="2">
        <f t="shared" ref="AE1" si="8">AD1+1</f>
        <v>42003</v>
      </c>
      <c r="AF1" s="2">
        <f t="shared" ref="AF1" si="9">AE1+1</f>
        <v>42004</v>
      </c>
      <c r="AG1" s="3" t="s">
        <v>0</v>
      </c>
      <c r="AH1" s="3" t="s">
        <v>1</v>
      </c>
    </row>
    <row r="2" spans="1:34" x14ac:dyDescent="0.25">
      <c r="A2" s="6" t="s">
        <v>24</v>
      </c>
      <c r="B2">
        <f>500</f>
        <v>500</v>
      </c>
      <c r="L2">
        <f>23</f>
        <v>23</v>
      </c>
      <c r="M2">
        <f>50</f>
        <v>50</v>
      </c>
      <c r="P2">
        <f>650</f>
        <v>650</v>
      </c>
      <c r="W2">
        <f>350</f>
        <v>350</v>
      </c>
      <c r="Y2">
        <f>390+630</f>
        <v>1020</v>
      </c>
      <c r="AC2">
        <f>70</f>
        <v>70</v>
      </c>
      <c r="AE2">
        <f>140</f>
        <v>140</v>
      </c>
      <c r="AG2" s="1">
        <f t="shared" ref="AG2:AG13" si="10">SUM(B2:AF2)</f>
        <v>2803</v>
      </c>
      <c r="AH2" s="1">
        <v>1000</v>
      </c>
    </row>
    <row r="3" spans="1:34" x14ac:dyDescent="0.25">
      <c r="A3" s="7" t="s">
        <v>4</v>
      </c>
      <c r="D3">
        <f>10</f>
        <v>10</v>
      </c>
      <c r="E3">
        <f>10</f>
        <v>10</v>
      </c>
      <c r="H3">
        <f>10+20+30</f>
        <v>60</v>
      </c>
      <c r="J3">
        <f>30</f>
        <v>30</v>
      </c>
      <c r="S3">
        <f>10</f>
        <v>10</v>
      </c>
      <c r="V3">
        <f>20</f>
        <v>20</v>
      </c>
      <c r="X3">
        <f>70</f>
        <v>70</v>
      </c>
      <c r="AC3">
        <f>10</f>
        <v>10</v>
      </c>
      <c r="AD3">
        <f>10</f>
        <v>10</v>
      </c>
      <c r="AG3" s="1">
        <f t="shared" si="10"/>
        <v>230</v>
      </c>
      <c r="AH3" s="1">
        <v>300</v>
      </c>
    </row>
    <row r="4" spans="1:34" x14ac:dyDescent="0.25">
      <c r="A4" s="7" t="s">
        <v>5</v>
      </c>
      <c r="B4">
        <f>50</f>
        <v>50</v>
      </c>
      <c r="D4">
        <f>100</f>
        <v>100</v>
      </c>
      <c r="F4">
        <f>60</f>
        <v>60</v>
      </c>
      <c r="G4">
        <f>55</f>
        <v>55</v>
      </c>
      <c r="K4">
        <f>200</f>
        <v>200</v>
      </c>
      <c r="M4">
        <f>40+54+10</f>
        <v>104</v>
      </c>
      <c r="N4">
        <f>100</f>
        <v>100</v>
      </c>
      <c r="O4">
        <f>67</f>
        <v>67</v>
      </c>
      <c r="T4">
        <f>360</f>
        <v>360</v>
      </c>
      <c r="U4">
        <f>100+30</f>
        <v>130</v>
      </c>
      <c r="W4">
        <f>60</f>
        <v>60</v>
      </c>
      <c r="Z4">
        <f>1000</f>
        <v>1000</v>
      </c>
      <c r="AB4">
        <f>99+130</f>
        <v>229</v>
      </c>
      <c r="AG4" s="1">
        <f t="shared" si="10"/>
        <v>2515</v>
      </c>
      <c r="AH4" s="1">
        <v>2500</v>
      </c>
    </row>
    <row r="5" spans="1:34" x14ac:dyDescent="0.25">
      <c r="A5" s="7" t="s">
        <v>7</v>
      </c>
      <c r="B5">
        <f>20</f>
        <v>20</v>
      </c>
      <c r="E5">
        <f>35</f>
        <v>35</v>
      </c>
      <c r="G5">
        <f>150</f>
        <v>150</v>
      </c>
      <c r="H5">
        <f>5</f>
        <v>5</v>
      </c>
      <c r="O5">
        <f>5</f>
        <v>5</v>
      </c>
      <c r="AD5">
        <f>1000</f>
        <v>1000</v>
      </c>
      <c r="AG5" s="1">
        <f t="shared" si="10"/>
        <v>1215</v>
      </c>
      <c r="AH5" s="1">
        <v>0</v>
      </c>
    </row>
    <row r="6" spans="1:34" x14ac:dyDescent="0.25">
      <c r="A6" s="7" t="s">
        <v>8</v>
      </c>
      <c r="C6">
        <f>10</f>
        <v>10</v>
      </c>
      <c r="E6">
        <f>20</f>
        <v>20</v>
      </c>
      <c r="F6">
        <f>20</f>
        <v>20</v>
      </c>
      <c r="I6">
        <f>30</f>
        <v>30</v>
      </c>
      <c r="K6">
        <f>20</f>
        <v>20</v>
      </c>
      <c r="L6">
        <f>50</f>
        <v>50</v>
      </c>
      <c r="O6">
        <f>20+6</f>
        <v>26</v>
      </c>
      <c r="R6">
        <f>50</f>
        <v>50</v>
      </c>
      <c r="S6">
        <f>30</f>
        <v>30</v>
      </c>
      <c r="T6">
        <f>50</f>
        <v>50</v>
      </c>
      <c r="U6">
        <f>100</f>
        <v>100</v>
      </c>
      <c r="V6">
        <f>10</f>
        <v>10</v>
      </c>
      <c r="AG6" s="1">
        <f t="shared" si="10"/>
        <v>416</v>
      </c>
      <c r="AH6" s="1">
        <v>300</v>
      </c>
    </row>
    <row r="7" spans="1:34" x14ac:dyDescent="0.25">
      <c r="A7" s="7" t="s">
        <v>9</v>
      </c>
      <c r="C7">
        <f>200</f>
        <v>200</v>
      </c>
      <c r="H7">
        <f>18</f>
        <v>18</v>
      </c>
      <c r="I7" s="13">
        <f>50+30</f>
        <v>80</v>
      </c>
      <c r="K7">
        <f>20</f>
        <v>20</v>
      </c>
      <c r="N7">
        <f>35</f>
        <v>35</v>
      </c>
      <c r="O7">
        <f>93</f>
        <v>93</v>
      </c>
      <c r="P7" s="13"/>
      <c r="Q7">
        <f>50+10</f>
        <v>60</v>
      </c>
      <c r="R7">
        <f>5</f>
        <v>5</v>
      </c>
      <c r="T7">
        <f>36</f>
        <v>36</v>
      </c>
      <c r="U7">
        <f>-100</f>
        <v>-100</v>
      </c>
      <c r="AF7">
        <f>40+700</f>
        <v>740</v>
      </c>
      <c r="AG7" s="1">
        <f t="shared" si="10"/>
        <v>1187</v>
      </c>
      <c r="AH7" s="1">
        <v>1000</v>
      </c>
    </row>
    <row r="8" spans="1:34" x14ac:dyDescent="0.25">
      <c r="A8" s="7" t="s">
        <v>25</v>
      </c>
      <c r="I8">
        <f>805</f>
        <v>805</v>
      </c>
      <c r="L8">
        <f>1520</f>
        <v>1520</v>
      </c>
      <c r="M8">
        <f>30</f>
        <v>30</v>
      </c>
      <c r="AG8" s="1">
        <f t="shared" si="10"/>
        <v>2355</v>
      </c>
      <c r="AH8" s="1">
        <v>1500</v>
      </c>
    </row>
    <row r="9" spans="1:34" x14ac:dyDescent="0.25">
      <c r="A9" s="7" t="s">
        <v>26</v>
      </c>
      <c r="F9">
        <f>130</f>
        <v>130</v>
      </c>
      <c r="G9">
        <f>150+200</f>
        <v>350</v>
      </c>
      <c r="L9">
        <f>50+350</f>
        <v>400</v>
      </c>
      <c r="O9">
        <f>100</f>
        <v>100</v>
      </c>
      <c r="P9">
        <f>50</f>
        <v>50</v>
      </c>
      <c r="W9">
        <f>100</f>
        <v>100</v>
      </c>
      <c r="AA9">
        <f>38</f>
        <v>38</v>
      </c>
      <c r="AE9">
        <f>300</f>
        <v>300</v>
      </c>
      <c r="AG9" s="1">
        <f t="shared" si="10"/>
        <v>1468</v>
      </c>
      <c r="AH9" s="1">
        <v>1000</v>
      </c>
    </row>
    <row r="10" spans="1:34" x14ac:dyDescent="0.25">
      <c r="A10" s="7" t="s">
        <v>10</v>
      </c>
      <c r="B10">
        <f>10+10+200</f>
        <v>220</v>
      </c>
      <c r="C10">
        <f>100</f>
        <v>100</v>
      </c>
      <c r="E10">
        <f>200</f>
        <v>200</v>
      </c>
      <c r="G10">
        <f>5+100</f>
        <v>105</v>
      </c>
      <c r="J10">
        <f>100</f>
        <v>100</v>
      </c>
      <c r="K10">
        <f>10</f>
        <v>10</v>
      </c>
      <c r="M10">
        <f>200+5+5</f>
        <v>210</v>
      </c>
      <c r="O10">
        <f>5+5</f>
        <v>10</v>
      </c>
      <c r="P10">
        <f>20+10</f>
        <v>30</v>
      </c>
      <c r="R10">
        <f>100</f>
        <v>100</v>
      </c>
      <c r="U10">
        <f>20+50</f>
        <v>70</v>
      </c>
      <c r="V10">
        <f>200</f>
        <v>200</v>
      </c>
      <c r="AC10">
        <f>10+15+15+5</f>
        <v>45</v>
      </c>
      <c r="AD10">
        <f>100</f>
        <v>100</v>
      </c>
      <c r="AE10">
        <f>200</f>
        <v>200</v>
      </c>
      <c r="AG10" s="1">
        <f t="shared" si="10"/>
        <v>1700</v>
      </c>
      <c r="AH10" s="1">
        <v>1500</v>
      </c>
    </row>
    <row r="11" spans="1:34" x14ac:dyDescent="0.25">
      <c r="A11" s="7" t="s">
        <v>11</v>
      </c>
      <c r="I11" s="13">
        <f>30</f>
        <v>30</v>
      </c>
      <c r="V11">
        <f>50-20</f>
        <v>30</v>
      </c>
      <c r="AG11" s="1">
        <f t="shared" si="10"/>
        <v>60</v>
      </c>
      <c r="AH11" s="1">
        <v>0</v>
      </c>
    </row>
    <row r="12" spans="1:34" x14ac:dyDescent="0.25">
      <c r="A12" s="7" t="s">
        <v>12</v>
      </c>
      <c r="F12">
        <f>10</f>
        <v>10</v>
      </c>
      <c r="V12">
        <f>70+20+20</f>
        <v>110</v>
      </c>
      <c r="AA12">
        <f>70+20</f>
        <v>90</v>
      </c>
      <c r="AG12" s="1">
        <f t="shared" si="10"/>
        <v>210</v>
      </c>
      <c r="AH12" s="1">
        <v>400</v>
      </c>
    </row>
    <row r="13" spans="1:34" x14ac:dyDescent="0.25">
      <c r="A13" s="9" t="s">
        <v>13</v>
      </c>
      <c r="G13">
        <f>500</f>
        <v>500</v>
      </c>
      <c r="AG13" s="1">
        <f t="shared" si="10"/>
        <v>500</v>
      </c>
      <c r="AH13" s="1">
        <v>500</v>
      </c>
    </row>
    <row r="14" spans="1:34" s="12" customFormat="1" x14ac:dyDescent="0.25">
      <c r="A14" s="10" t="s">
        <v>14</v>
      </c>
      <c r="B14" s="11">
        <f t="shared" ref="B14:AF14" si="11">SUM(B2:B13)</f>
        <v>790</v>
      </c>
      <c r="C14" s="11">
        <f t="shared" si="11"/>
        <v>310</v>
      </c>
      <c r="D14" s="11">
        <f t="shared" si="11"/>
        <v>110</v>
      </c>
      <c r="E14" s="11">
        <f t="shared" si="11"/>
        <v>265</v>
      </c>
      <c r="F14" s="11">
        <f t="shared" si="11"/>
        <v>220</v>
      </c>
      <c r="G14" s="11">
        <f t="shared" si="11"/>
        <v>1160</v>
      </c>
      <c r="H14" s="11">
        <f t="shared" si="11"/>
        <v>83</v>
      </c>
      <c r="I14" s="11">
        <f t="shared" si="11"/>
        <v>945</v>
      </c>
      <c r="J14" s="11">
        <f t="shared" si="11"/>
        <v>130</v>
      </c>
      <c r="K14" s="11">
        <f t="shared" si="11"/>
        <v>250</v>
      </c>
      <c r="L14" s="11">
        <f t="shared" si="11"/>
        <v>1993</v>
      </c>
      <c r="M14" s="11">
        <f t="shared" si="11"/>
        <v>394</v>
      </c>
      <c r="N14" s="11">
        <f t="shared" si="11"/>
        <v>135</v>
      </c>
      <c r="O14" s="11">
        <f t="shared" si="11"/>
        <v>301</v>
      </c>
      <c r="P14" s="11">
        <f t="shared" si="11"/>
        <v>730</v>
      </c>
      <c r="Q14" s="11">
        <f t="shared" si="11"/>
        <v>60</v>
      </c>
      <c r="R14" s="11">
        <f t="shared" si="11"/>
        <v>155</v>
      </c>
      <c r="S14" s="11">
        <f t="shared" si="11"/>
        <v>40</v>
      </c>
      <c r="T14" s="11">
        <f t="shared" si="11"/>
        <v>446</v>
      </c>
      <c r="U14" s="11">
        <f t="shared" si="11"/>
        <v>200</v>
      </c>
      <c r="V14" s="11">
        <f t="shared" si="11"/>
        <v>370</v>
      </c>
      <c r="W14" s="11">
        <f t="shared" si="11"/>
        <v>510</v>
      </c>
      <c r="X14" s="11">
        <f t="shared" si="11"/>
        <v>70</v>
      </c>
      <c r="Y14" s="11">
        <f t="shared" si="11"/>
        <v>1020</v>
      </c>
      <c r="Z14" s="11">
        <f t="shared" si="11"/>
        <v>1000</v>
      </c>
      <c r="AA14" s="11">
        <f t="shared" si="11"/>
        <v>128</v>
      </c>
      <c r="AB14" s="11">
        <f t="shared" si="11"/>
        <v>229</v>
      </c>
      <c r="AC14" s="11">
        <f t="shared" si="11"/>
        <v>125</v>
      </c>
      <c r="AD14" s="11">
        <f t="shared" si="11"/>
        <v>1110</v>
      </c>
      <c r="AE14" s="11">
        <f t="shared" si="11"/>
        <v>640</v>
      </c>
      <c r="AF14" s="11">
        <f t="shared" si="11"/>
        <v>740</v>
      </c>
      <c r="AG14" s="11">
        <f>SUM(AG2:AG4,AG5:AG13)</f>
        <v>14659</v>
      </c>
      <c r="AH14" s="11">
        <f>SUM(AH2:AH4,AH6:AH13)</f>
        <v>10000</v>
      </c>
    </row>
    <row r="15" spans="1:34" x14ac:dyDescent="0.25">
      <c r="A15" s="13"/>
    </row>
    <row r="17" spans="1:1" x14ac:dyDescent="0.25">
      <c r="A17" s="19" t="s">
        <v>23</v>
      </c>
    </row>
  </sheetData>
  <hyperlinks>
    <hyperlink ref="A17" r:id="rId1"/>
  </hyperlinks>
  <pageMargins left="0.7" right="0.7" top="0.75" bottom="0.75" header="0.3" footer="0.3"/>
  <pageSetup paperSize="9" orientation="portrait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Jan</vt:lpstr>
      <vt:lpstr>Feb</vt:lpstr>
      <vt:lpstr>Mar</vt:lpstr>
      <vt:lpstr>Apr</vt:lpstr>
      <vt:lpstr>May</vt:lpstr>
      <vt:lpstr>Sep</vt:lpstr>
      <vt:lpstr>Oct</vt:lpstr>
      <vt:lpstr>Nov</vt:lpstr>
      <vt:lpstr>Dec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2014-01-01T09:27:21Z</dcterms:created>
  <dcterms:modified xsi:type="dcterms:W3CDTF">2017-04-10T13:37:45Z</dcterms:modified>
</cp:coreProperties>
</file>