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Rahul\Desktop\Analytics\Expense Sheet\"/>
    </mc:Choice>
  </mc:AlternateContent>
  <bookViews>
    <workbookView xWindow="0" yWindow="0" windowWidth="15360" windowHeight="7530"/>
  </bookViews>
  <sheets>
    <sheet name="Jan" sheetId="5" r:id="rId1"/>
    <sheet name="Feb" sheetId="6" r:id="rId2"/>
    <sheet name="Mar" sheetId="7" r:id="rId3"/>
    <sheet name="Apr" sheetId="9" r:id="rId4"/>
    <sheet name="May" sheetId="10" r:id="rId5"/>
    <sheet name="Jun" sheetId="11" r:id="rId6"/>
    <sheet name="Jul" sheetId="12" r:id="rId7"/>
    <sheet name="Aug" sheetId="13" r:id="rId8"/>
    <sheet name="Sep" sheetId="15" r:id="rId9"/>
    <sheet name="Oct" sheetId="17" r:id="rId10"/>
    <sheet name="Nov" sheetId="18" r:id="rId11"/>
    <sheet name="Dec" sheetId="19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9" l="1"/>
  <c r="P5" i="19"/>
  <c r="N11" i="19" l="1"/>
  <c r="O11" i="19"/>
  <c r="L11" i="19" l="1"/>
  <c r="L5" i="19"/>
  <c r="K9" i="19" l="1"/>
  <c r="K11" i="19"/>
  <c r="J11" i="19" l="1"/>
  <c r="J5" i="19"/>
  <c r="I5" i="19"/>
  <c r="I11" i="19"/>
  <c r="H11" i="19"/>
  <c r="G4" i="19" l="1"/>
  <c r="G11" i="19" l="1"/>
  <c r="F6" i="19"/>
  <c r="F11" i="19"/>
  <c r="E11" i="19" l="1"/>
  <c r="E3" i="19"/>
  <c r="E2" i="19"/>
  <c r="D11" i="19" l="1"/>
  <c r="D4" i="19"/>
  <c r="C9" i="19" l="1"/>
  <c r="C4" i="19"/>
  <c r="O2" i="18" l="1"/>
  <c r="AH10" i="19"/>
  <c r="B9" i="19"/>
  <c r="AG9" i="19" s="1"/>
  <c r="AI9" i="19" s="1"/>
  <c r="B11" i="19"/>
  <c r="Q13" i="19"/>
  <c r="M13" i="19"/>
  <c r="I13" i="19"/>
  <c r="E13" i="19"/>
  <c r="AG12" i="19"/>
  <c r="AI12" i="19" s="1"/>
  <c r="AC13" i="19"/>
  <c r="AA13" i="19"/>
  <c r="Y13" i="19"/>
  <c r="U13" i="19"/>
  <c r="S13" i="19"/>
  <c r="F13" i="19"/>
  <c r="AG11" i="19"/>
  <c r="AI11" i="19" s="1"/>
  <c r="AG10" i="19"/>
  <c r="R13" i="19"/>
  <c r="K13" i="19"/>
  <c r="N13" i="19"/>
  <c r="AG8" i="19"/>
  <c r="AI8" i="19" s="1"/>
  <c r="AG7" i="19"/>
  <c r="AI7" i="19" s="1"/>
  <c r="AF13" i="19"/>
  <c r="AD13" i="19"/>
  <c r="H13" i="19"/>
  <c r="G13" i="19"/>
  <c r="D13" i="19"/>
  <c r="C13" i="19"/>
  <c r="P13" i="19"/>
  <c r="AG5" i="19"/>
  <c r="AI5" i="19" s="1"/>
  <c r="AB13" i="19"/>
  <c r="T13" i="19"/>
  <c r="AG4" i="19"/>
  <c r="AI4" i="19" s="1"/>
  <c r="AG3" i="19"/>
  <c r="AI3" i="19" s="1"/>
  <c r="AG2" i="19"/>
  <c r="AE13" i="19"/>
  <c r="Z13" i="19"/>
  <c r="X13" i="19"/>
  <c r="W13" i="19"/>
  <c r="V13" i="19"/>
  <c r="L13" i="19"/>
  <c r="J13" i="19"/>
  <c r="C1" i="19"/>
  <c r="D1" i="19" s="1"/>
  <c r="E1" i="19" s="1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AD1" i="19" s="1"/>
  <c r="AE1" i="19" s="1"/>
  <c r="AF1" i="19" s="1"/>
  <c r="AD2" i="18"/>
  <c r="AE11" i="18"/>
  <c r="AD11" i="18"/>
  <c r="AI10" i="19" l="1"/>
  <c r="AI2" i="19"/>
  <c r="AG6" i="19"/>
  <c r="AI6" i="19" s="1"/>
  <c r="B13" i="19"/>
  <c r="B23" i="19" s="1"/>
  <c r="C23" i="19" s="1"/>
  <c r="D23" i="19" s="1"/>
  <c r="E23" i="19" s="1"/>
  <c r="F23" i="19" s="1"/>
  <c r="G23" i="19" s="1"/>
  <c r="H23" i="19" s="1"/>
  <c r="I23" i="19" s="1"/>
  <c r="J23" i="19" s="1"/>
  <c r="K23" i="19" s="1"/>
  <c r="L23" i="19" s="1"/>
  <c r="M23" i="19" s="1"/>
  <c r="N23" i="19" s="1"/>
  <c r="AH13" i="19"/>
  <c r="O13" i="19"/>
  <c r="Y11" i="18"/>
  <c r="Y5" i="18"/>
  <c r="X11" i="18"/>
  <c r="AA5" i="18"/>
  <c r="AC11" i="18"/>
  <c r="Z11" i="18"/>
  <c r="O23" i="19" l="1"/>
  <c r="P23" i="19" s="1"/>
  <c r="Q23" i="19" s="1"/>
  <c r="R23" i="19" s="1"/>
  <c r="S23" i="19" s="1"/>
  <c r="T23" i="19" s="1"/>
  <c r="U23" i="19" s="1"/>
  <c r="V23" i="19" s="1"/>
  <c r="W23" i="19" s="1"/>
  <c r="X23" i="19" s="1"/>
  <c r="Y23" i="19" s="1"/>
  <c r="AA23" i="19" s="1"/>
  <c r="AE22" i="19"/>
  <c r="AA22" i="19"/>
  <c r="W22" i="19"/>
  <c r="S22" i="19"/>
  <c r="O22" i="19"/>
  <c r="K22" i="19"/>
  <c r="G22" i="19"/>
  <c r="C22" i="19"/>
  <c r="A16" i="19"/>
  <c r="X22" i="19"/>
  <c r="T22" i="19"/>
  <c r="H22" i="19"/>
  <c r="AD22" i="19"/>
  <c r="Z22" i="19"/>
  <c r="V22" i="19"/>
  <c r="R22" i="19"/>
  <c r="N22" i="19"/>
  <c r="J22" i="19"/>
  <c r="F22" i="19"/>
  <c r="B22" i="19"/>
  <c r="AB22" i="19"/>
  <c r="P22" i="19"/>
  <c r="D22" i="19"/>
  <c r="AC22" i="19"/>
  <c r="Y22" i="19"/>
  <c r="U22" i="19"/>
  <c r="Q22" i="19"/>
  <c r="M22" i="19"/>
  <c r="I22" i="19"/>
  <c r="E22" i="19"/>
  <c r="AF22" i="19"/>
  <c r="L22" i="19"/>
  <c r="AG13" i="19"/>
  <c r="A18" i="19" s="1"/>
  <c r="A20" i="19" s="1"/>
  <c r="W11" i="18"/>
  <c r="V11" i="18"/>
  <c r="U11" i="18"/>
  <c r="Z23" i="19" l="1"/>
  <c r="AB23" i="19" s="1"/>
  <c r="AC23" i="19" s="1"/>
  <c r="AD23" i="19" s="1"/>
  <c r="AE23" i="19" s="1"/>
  <c r="AF23" i="19" s="1"/>
  <c r="AI13" i="19"/>
  <c r="T10" i="18"/>
  <c r="T7" i="18"/>
  <c r="T6" i="18"/>
  <c r="T2" i="18"/>
  <c r="S6" i="18" l="1"/>
  <c r="S8" i="18"/>
  <c r="S4" i="18"/>
  <c r="S9" i="18"/>
  <c r="R11" i="18"/>
  <c r="Q8" i="18"/>
  <c r="Q12" i="18" l="1"/>
  <c r="Q11" i="18"/>
  <c r="P5" i="18" l="1"/>
  <c r="P11" i="18"/>
  <c r="P9" i="18"/>
  <c r="O11" i="18"/>
  <c r="N11" i="18"/>
  <c r="M9" i="18" l="1"/>
  <c r="L2" i="18" l="1"/>
  <c r="L11" i="18"/>
  <c r="L3" i="18"/>
  <c r="L8" i="18"/>
  <c r="K11" i="18"/>
  <c r="J11" i="18" l="1"/>
  <c r="I6" i="18"/>
  <c r="I11" i="18"/>
  <c r="H11" i="18" l="1"/>
  <c r="H6" i="18" l="1"/>
  <c r="G11" i="18"/>
  <c r="G9" i="18"/>
  <c r="F6" i="18" l="1"/>
  <c r="E4" i="18"/>
  <c r="E6" i="18"/>
  <c r="E11" i="18"/>
  <c r="D9" i="18" l="1"/>
  <c r="D7" i="18"/>
  <c r="D4" i="18"/>
  <c r="D11" i="18"/>
  <c r="C11" i="18" l="1"/>
  <c r="B11" i="18" l="1"/>
  <c r="B6" i="18"/>
  <c r="AG10" i="18" l="1"/>
  <c r="AF10" i="17"/>
  <c r="AB13" i="18"/>
  <c r="Y13" i="18"/>
  <c r="X13" i="18"/>
  <c r="W13" i="18"/>
  <c r="V13" i="18"/>
  <c r="U13" i="18"/>
  <c r="T13" i="18"/>
  <c r="Q13" i="18"/>
  <c r="P13" i="18"/>
  <c r="L13" i="18"/>
  <c r="H13" i="18"/>
  <c r="D13" i="18"/>
  <c r="C13" i="18"/>
  <c r="B13" i="18"/>
  <c r="B23" i="18" s="1"/>
  <c r="AF12" i="18"/>
  <c r="AH12" i="18" s="1"/>
  <c r="AE13" i="18"/>
  <c r="AA13" i="18"/>
  <c r="Z13" i="18"/>
  <c r="K13" i="18"/>
  <c r="AF11" i="18"/>
  <c r="AH11" i="18" s="1"/>
  <c r="AG13" i="18"/>
  <c r="AF10" i="18"/>
  <c r="N13" i="18"/>
  <c r="M13" i="18"/>
  <c r="AF9" i="18"/>
  <c r="AH9" i="18" s="1"/>
  <c r="AF8" i="18"/>
  <c r="AH8" i="18" s="1"/>
  <c r="AF7" i="18"/>
  <c r="AH7" i="18" s="1"/>
  <c r="G13" i="18"/>
  <c r="AD13" i="18"/>
  <c r="O13" i="18"/>
  <c r="J13" i="18"/>
  <c r="AF5" i="18"/>
  <c r="AH5" i="18" s="1"/>
  <c r="AF4" i="18"/>
  <c r="AH4" i="18" s="1"/>
  <c r="I13" i="18"/>
  <c r="F13" i="18"/>
  <c r="E13" i="18"/>
  <c r="AC13" i="18"/>
  <c r="S13" i="18"/>
  <c r="AF2" i="18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6" i="17"/>
  <c r="AF11" i="17"/>
  <c r="C23" i="18" l="1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A16" i="18"/>
  <c r="AH2" i="18"/>
  <c r="AH10" i="18"/>
  <c r="R13" i="18"/>
  <c r="AC22" i="18" s="1"/>
  <c r="AF6" i="18"/>
  <c r="AH6" i="18" s="1"/>
  <c r="AF3" i="18"/>
  <c r="AH3" i="18" s="1"/>
  <c r="AE2" i="17"/>
  <c r="AE12" i="17"/>
  <c r="AE11" i="17"/>
  <c r="AD7" i="17"/>
  <c r="AD6" i="17"/>
  <c r="J22" i="18" l="1"/>
  <c r="AE22" i="18"/>
  <c r="D22" i="18"/>
  <c r="N22" i="18"/>
  <c r="C22" i="18"/>
  <c r="E22" i="18"/>
  <c r="H22" i="18"/>
  <c r="Z22" i="18"/>
  <c r="O22" i="18"/>
  <c r="Q22" i="18"/>
  <c r="R23" i="18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B22" i="18"/>
  <c r="AD22" i="18"/>
  <c r="S22" i="18"/>
  <c r="U22" i="18"/>
  <c r="P22" i="18"/>
  <c r="B22" i="18"/>
  <c r="R22" i="18"/>
  <c r="L22" i="18"/>
  <c r="G22" i="18"/>
  <c r="W22" i="18"/>
  <c r="I22" i="18"/>
  <c r="Y22" i="18"/>
  <c r="AF13" i="18"/>
  <c r="X22" i="18"/>
  <c r="F22" i="18"/>
  <c r="V22" i="18"/>
  <c r="T22" i="18"/>
  <c r="K22" i="18"/>
  <c r="AA22" i="18"/>
  <c r="M22" i="18"/>
  <c r="AC11" i="17"/>
  <c r="AC9" i="17"/>
  <c r="AB11" i="17"/>
  <c r="AB4" i="17"/>
  <c r="A18" i="18" l="1"/>
  <c r="A20" i="18" s="1"/>
  <c r="AH13" i="18"/>
  <c r="AA11" i="17"/>
  <c r="Z11" i="17" l="1"/>
  <c r="Z2" i="17"/>
  <c r="Y6" i="17" l="1"/>
  <c r="Y11" i="17"/>
  <c r="X2" i="17"/>
  <c r="X11" i="17" l="1"/>
  <c r="W11" i="17"/>
  <c r="V5" i="17"/>
  <c r="W2" i="17"/>
  <c r="V11" i="17" l="1"/>
  <c r="V2" i="17"/>
  <c r="U11" i="17" l="1"/>
  <c r="U6" i="17"/>
  <c r="T9" i="17"/>
  <c r="T5" i="17"/>
  <c r="T4" i="17"/>
  <c r="S11" i="17" l="1"/>
  <c r="R11" i="17"/>
  <c r="P5" i="17"/>
  <c r="R10" i="17"/>
  <c r="Q11" i="17"/>
  <c r="P9" i="17" l="1"/>
  <c r="P11" i="17"/>
  <c r="O4" i="17" l="1"/>
  <c r="O5" i="17"/>
  <c r="O11" i="17"/>
  <c r="N11" i="17" l="1"/>
  <c r="N9" i="17"/>
  <c r="M11" i="17" l="1"/>
  <c r="L5" i="17"/>
  <c r="L11" i="17"/>
  <c r="M5" i="17"/>
  <c r="L2" i="17"/>
  <c r="L9" i="17"/>
  <c r="D10" i="17" l="1"/>
  <c r="K10" i="17"/>
  <c r="J2" i="17"/>
  <c r="J11" i="17"/>
  <c r="K11" i="17"/>
  <c r="I9" i="17" l="1"/>
  <c r="G10" i="17" l="1"/>
  <c r="I12" i="17"/>
  <c r="H6" i="17"/>
  <c r="H11" i="17"/>
  <c r="G11" i="17"/>
  <c r="G6" i="17"/>
  <c r="F11" i="17" l="1"/>
  <c r="E9" i="17"/>
  <c r="E11" i="17"/>
  <c r="E10" i="17"/>
  <c r="D9" i="17"/>
  <c r="D11" i="17"/>
  <c r="D6" i="17"/>
  <c r="C6" i="17"/>
  <c r="C11" i="17"/>
  <c r="B11" i="17" l="1"/>
  <c r="AE11" i="15"/>
  <c r="AH10" i="17" l="1"/>
  <c r="AC2" i="15"/>
  <c r="N10" i="15"/>
  <c r="AD5" i="15"/>
  <c r="AA13" i="17"/>
  <c r="AF13" i="17"/>
  <c r="AE13" i="17"/>
  <c r="AC13" i="17"/>
  <c r="Y13" i="17"/>
  <c r="W13" i="17"/>
  <c r="V13" i="17"/>
  <c r="U13" i="17"/>
  <c r="T13" i="17"/>
  <c r="R13" i="17"/>
  <c r="N13" i="17"/>
  <c r="C13" i="17"/>
  <c r="B13" i="17"/>
  <c r="B23" i="17" s="1"/>
  <c r="P13" i="17"/>
  <c r="AD13" i="17"/>
  <c r="AB13" i="17"/>
  <c r="Z13" i="17"/>
  <c r="Q13" i="17"/>
  <c r="K13" i="17"/>
  <c r="H13" i="17"/>
  <c r="D13" i="17"/>
  <c r="AH13" i="17"/>
  <c r="AG10" i="17"/>
  <c r="X13" i="17"/>
  <c r="M13" i="17"/>
  <c r="AG8" i="17"/>
  <c r="AI8" i="17" s="1"/>
  <c r="AG7" i="17"/>
  <c r="AI7" i="17" s="1"/>
  <c r="AG6" i="17"/>
  <c r="AI6" i="17" s="1"/>
  <c r="J13" i="17"/>
  <c r="L13" i="17"/>
  <c r="AG2" i="17"/>
  <c r="AI2" i="17" s="1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Z11" i="15"/>
  <c r="X9" i="15"/>
  <c r="AC11" i="15"/>
  <c r="AA11" i="15"/>
  <c r="C23" i="17" l="1"/>
  <c r="D23" i="17" s="1"/>
  <c r="AG5" i="17"/>
  <c r="AI5" i="17" s="1"/>
  <c r="S13" i="17"/>
  <c r="F13" i="17"/>
  <c r="O13" i="17"/>
  <c r="AG9" i="17"/>
  <c r="AI9" i="17" s="1"/>
  <c r="E13" i="17"/>
  <c r="G13" i="17"/>
  <c r="AG12" i="17"/>
  <c r="AI12" i="17" s="1"/>
  <c r="A16" i="17"/>
  <c r="I13" i="17"/>
  <c r="AG4" i="17"/>
  <c r="AI4" i="17" s="1"/>
  <c r="AI10" i="17"/>
  <c r="AG3" i="17"/>
  <c r="AI3" i="17" s="1"/>
  <c r="AG11" i="17"/>
  <c r="AI11" i="17" s="1"/>
  <c r="S2" i="15"/>
  <c r="Z22" i="17" l="1"/>
  <c r="C22" i="17"/>
  <c r="I22" i="17"/>
  <c r="U22" i="17"/>
  <c r="P22" i="17"/>
  <c r="AA22" i="17"/>
  <c r="R22" i="17"/>
  <c r="O22" i="17"/>
  <c r="B22" i="17"/>
  <c r="D22" i="17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Q23" i="17" s="1"/>
  <c r="R23" i="17" s="1"/>
  <c r="S23" i="17" s="1"/>
  <c r="T23" i="17" s="1"/>
  <c r="U23" i="17" s="1"/>
  <c r="V23" i="17" s="1"/>
  <c r="W23" i="17" s="1"/>
  <c r="X23" i="17" s="1"/>
  <c r="Y23" i="17" s="1"/>
  <c r="AE22" i="17"/>
  <c r="S22" i="17"/>
  <c r="T22" i="17"/>
  <c r="Y22" i="17"/>
  <c r="J22" i="17"/>
  <c r="V22" i="17"/>
  <c r="AF22" i="17"/>
  <c r="E22" i="17"/>
  <c r="G22" i="17"/>
  <c r="W22" i="17"/>
  <c r="H22" i="17"/>
  <c r="X22" i="17"/>
  <c r="M22" i="17"/>
  <c r="AD22" i="17"/>
  <c r="AG13" i="17"/>
  <c r="F22" i="17"/>
  <c r="N22" i="17"/>
  <c r="K22" i="17"/>
  <c r="AB22" i="17"/>
  <c r="L22" i="17"/>
  <c r="AC22" i="17"/>
  <c r="Q22" i="17"/>
  <c r="S4" i="15"/>
  <c r="S3" i="15"/>
  <c r="Z23" i="17" l="1"/>
  <c r="AB23" i="17" s="1"/>
  <c r="AC23" i="17" s="1"/>
  <c r="AD23" i="17" s="1"/>
  <c r="AE23" i="17" s="1"/>
  <c r="AF23" i="17" s="1"/>
  <c r="AA23" i="17"/>
  <c r="A18" i="17"/>
  <c r="A20" i="17" s="1"/>
  <c r="AI13" i="17"/>
  <c r="R2" i="15"/>
  <c r="R9" i="15"/>
  <c r="O10" i="15" l="1"/>
  <c r="Q11" i="15"/>
  <c r="P12" i="15"/>
  <c r="O5" i="15"/>
  <c r="O9" i="15"/>
  <c r="M9" i="15" l="1"/>
  <c r="L12" i="15" l="1"/>
  <c r="L3" i="15"/>
  <c r="K11" i="15" l="1"/>
  <c r="J5" i="15" l="1"/>
  <c r="J9" i="15"/>
  <c r="I4" i="15"/>
  <c r="I5" i="15" l="1"/>
  <c r="I9" i="15"/>
  <c r="H11" i="15"/>
  <c r="G11" i="15" l="1"/>
  <c r="G6" i="15"/>
  <c r="F9" i="15" l="1"/>
  <c r="F7" i="15"/>
  <c r="F6" i="15"/>
  <c r="F3" i="15"/>
  <c r="E3" i="15" l="1"/>
  <c r="E5" i="15"/>
  <c r="E6" i="15"/>
  <c r="E9" i="15"/>
  <c r="D11" i="15" l="1"/>
  <c r="AG10" i="15"/>
  <c r="AG13" i="15"/>
  <c r="AD13" i="15"/>
  <c r="AB13" i="15"/>
  <c r="Z13" i="15"/>
  <c r="Y13" i="15"/>
  <c r="W13" i="15"/>
  <c r="V13" i="15"/>
  <c r="U13" i="15"/>
  <c r="R13" i="15"/>
  <c r="N13" i="15"/>
  <c r="J13" i="15"/>
  <c r="I13" i="15"/>
  <c r="E13" i="15"/>
  <c r="B13" i="15"/>
  <c r="B23" i="15" s="1"/>
  <c r="AF12" i="15"/>
  <c r="AH12" i="15" s="1"/>
  <c r="O13" i="15"/>
  <c r="M13" i="15"/>
  <c r="G13" i="15"/>
  <c r="AF11" i="15"/>
  <c r="AH11" i="15" s="1"/>
  <c r="AF10" i="15"/>
  <c r="AH10" i="15" s="1"/>
  <c r="AF9" i="15"/>
  <c r="AH9" i="15" s="1"/>
  <c r="C13" i="15"/>
  <c r="AH8" i="15"/>
  <c r="AF8" i="15"/>
  <c r="Q13" i="15"/>
  <c r="L13" i="15"/>
  <c r="H13" i="15"/>
  <c r="AF7" i="15"/>
  <c r="AH7" i="15" s="1"/>
  <c r="AE13" i="15"/>
  <c r="P13" i="15"/>
  <c r="AF6" i="15"/>
  <c r="AH6" i="15" s="1"/>
  <c r="K13" i="15"/>
  <c r="AF5" i="15"/>
  <c r="AH5" i="15" s="1"/>
  <c r="AF4" i="15"/>
  <c r="AH4" i="15" s="1"/>
  <c r="X13" i="15"/>
  <c r="T13" i="15"/>
  <c r="AF3" i="15"/>
  <c r="AH3" i="15" s="1"/>
  <c r="AC13" i="15"/>
  <c r="AA13" i="15"/>
  <c r="C1" i="15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C23" i="15" l="1"/>
  <c r="AF2" i="15"/>
  <c r="S13" i="15"/>
  <c r="F13" i="15"/>
  <c r="D13" i="15"/>
  <c r="A16" i="15"/>
  <c r="AA8" i="13"/>
  <c r="AD4" i="13"/>
  <c r="AD9" i="13"/>
  <c r="Z7" i="13"/>
  <c r="Z10" i="13"/>
  <c r="AD11" i="13"/>
  <c r="AC9" i="13"/>
  <c r="AC11" i="13"/>
  <c r="V22" i="15" l="1"/>
  <c r="Y22" i="15"/>
  <c r="H22" i="15"/>
  <c r="E22" i="15"/>
  <c r="B22" i="15"/>
  <c r="AE22" i="15"/>
  <c r="S22" i="15"/>
  <c r="I22" i="15"/>
  <c r="F22" i="15"/>
  <c r="C22" i="15"/>
  <c r="X22" i="15"/>
  <c r="U22" i="15"/>
  <c r="R22" i="15"/>
  <c r="O22" i="15"/>
  <c r="AB22" i="15"/>
  <c r="M22" i="15"/>
  <c r="AC22" i="15"/>
  <c r="J22" i="15"/>
  <c r="Z22" i="15"/>
  <c r="G22" i="15"/>
  <c r="W22" i="15"/>
  <c r="D22" i="15"/>
  <c r="T22" i="15"/>
  <c r="P22" i="15"/>
  <c r="AH2" i="15"/>
  <c r="AF13" i="15"/>
  <c r="L22" i="15"/>
  <c r="Q22" i="15"/>
  <c r="N22" i="15"/>
  <c r="AD22" i="15"/>
  <c r="K22" i="15"/>
  <c r="AA22" i="15"/>
  <c r="D23" i="15"/>
  <c r="E23" i="15" s="1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Q23" i="15" s="1"/>
  <c r="R23" i="15" s="1"/>
  <c r="S23" i="15" s="1"/>
  <c r="T23" i="15" s="1"/>
  <c r="U23" i="15" s="1"/>
  <c r="V23" i="15" s="1"/>
  <c r="W23" i="15" s="1"/>
  <c r="X23" i="15" s="1"/>
  <c r="Y23" i="15" s="1"/>
  <c r="Z23" i="15" s="1"/>
  <c r="AA23" i="15" s="1"/>
  <c r="AB23" i="15" s="1"/>
  <c r="AC23" i="15" s="1"/>
  <c r="AD23" i="15" s="1"/>
  <c r="AE23" i="15" s="1"/>
  <c r="V11" i="13"/>
  <c r="U11" i="13"/>
  <c r="R5" i="13"/>
  <c r="P5" i="13"/>
  <c r="X2" i="13"/>
  <c r="W11" i="13"/>
  <c r="W9" i="13"/>
  <c r="W4" i="13"/>
  <c r="A18" i="15" l="1"/>
  <c r="A20" i="15" s="1"/>
  <c r="AH13" i="15"/>
  <c r="P9" i="13"/>
  <c r="P2" i="13"/>
  <c r="N5" i="13"/>
  <c r="O5" i="13"/>
  <c r="O11" i="13"/>
  <c r="N7" i="13"/>
  <c r="M11" i="13"/>
  <c r="L11" i="13"/>
  <c r="L5" i="13"/>
  <c r="J11" i="13"/>
  <c r="H5" i="13" l="1"/>
  <c r="H2" i="13"/>
  <c r="C7" i="13" l="1"/>
  <c r="C9" i="13"/>
  <c r="F7" i="13"/>
  <c r="F6" i="13"/>
  <c r="E3" i="13"/>
  <c r="G3" i="13"/>
  <c r="G5" i="13"/>
  <c r="G2" i="13"/>
  <c r="G9" i="13"/>
  <c r="AH5" i="13" l="1"/>
  <c r="AC2" i="12"/>
  <c r="AH8" i="13"/>
  <c r="AH13" i="13"/>
  <c r="AF13" i="13"/>
  <c r="AE13" i="13"/>
  <c r="AD13" i="13"/>
  <c r="AB13" i="13"/>
  <c r="Z13" i="13"/>
  <c r="W13" i="13"/>
  <c r="V13" i="13"/>
  <c r="R13" i="13"/>
  <c r="N13" i="13"/>
  <c r="K13" i="13"/>
  <c r="F13" i="13"/>
  <c r="D13" i="13"/>
  <c r="AG12" i="13"/>
  <c r="AI12" i="13" s="1"/>
  <c r="O13" i="13"/>
  <c r="M13" i="13"/>
  <c r="I13" i="13"/>
  <c r="G13" i="13"/>
  <c r="AG11" i="13"/>
  <c r="AI11" i="13" s="1"/>
  <c r="AI10" i="13"/>
  <c r="AG10" i="13"/>
  <c r="S13" i="13"/>
  <c r="AG9" i="13"/>
  <c r="AI9" i="13" s="1"/>
  <c r="AG8" i="13"/>
  <c r="AI8" i="13" s="1"/>
  <c r="Q13" i="13"/>
  <c r="L13" i="13"/>
  <c r="H13" i="13"/>
  <c r="P13" i="13"/>
  <c r="J13" i="13"/>
  <c r="AC13" i="13"/>
  <c r="Y13" i="13"/>
  <c r="AG5" i="13"/>
  <c r="AI5" i="13" s="1"/>
  <c r="AG4" i="13"/>
  <c r="AI4" i="13" s="1"/>
  <c r="U13" i="13"/>
  <c r="X13" i="13"/>
  <c r="T13" i="13"/>
  <c r="AA13" i="13"/>
  <c r="B13" i="13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B23" i="13" l="1"/>
  <c r="AG2" i="13"/>
  <c r="AG6" i="13"/>
  <c r="AI6" i="13" s="1"/>
  <c r="AG7" i="13"/>
  <c r="AI7" i="13" s="1"/>
  <c r="E13" i="13"/>
  <c r="AC22" i="13" s="1"/>
  <c r="AG3" i="13"/>
  <c r="AI3" i="13" s="1"/>
  <c r="C13" i="13"/>
  <c r="Y22" i="13" s="1"/>
  <c r="A16" i="13"/>
  <c r="AE6" i="12"/>
  <c r="T22" i="13" l="1"/>
  <c r="C22" i="13"/>
  <c r="F22" i="13"/>
  <c r="S22" i="13"/>
  <c r="V22" i="13"/>
  <c r="D22" i="13"/>
  <c r="M22" i="13"/>
  <c r="Z22" i="13"/>
  <c r="G22" i="13"/>
  <c r="W22" i="13"/>
  <c r="H22" i="13"/>
  <c r="X22" i="13"/>
  <c r="AG13" i="13"/>
  <c r="AI2" i="13"/>
  <c r="U22" i="13"/>
  <c r="J22" i="13"/>
  <c r="N22" i="13"/>
  <c r="AD22" i="13"/>
  <c r="K22" i="13"/>
  <c r="AA22" i="13"/>
  <c r="L22" i="13"/>
  <c r="AB22" i="13"/>
  <c r="Q22" i="13"/>
  <c r="I22" i="13"/>
  <c r="E22" i="13"/>
  <c r="B22" i="13"/>
  <c r="R22" i="13"/>
  <c r="O22" i="13"/>
  <c r="AE22" i="13"/>
  <c r="P22" i="13"/>
  <c r="AF22" i="13"/>
  <c r="C23" i="13"/>
  <c r="D23" i="13" s="1"/>
  <c r="E23" i="13" s="1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D11" i="12"/>
  <c r="AC5" i="12"/>
  <c r="AC11" i="12"/>
  <c r="A18" i="13" l="1"/>
  <c r="A20" i="13" s="1"/>
  <c r="AI13" i="13"/>
  <c r="AA3" i="12"/>
  <c r="AA2" i="12"/>
  <c r="AA11" i="12"/>
  <c r="X9" i="12" l="1"/>
  <c r="X3" i="12"/>
  <c r="Y5" i="12"/>
  <c r="U4" i="12" l="1"/>
  <c r="T3" i="12"/>
  <c r="T6" i="12"/>
  <c r="T9" i="12"/>
  <c r="S9" i="12" l="1"/>
  <c r="S2" i="12"/>
  <c r="S11" i="12"/>
  <c r="O11" i="12" l="1"/>
  <c r="P9" i="12"/>
  <c r="P6" i="12"/>
  <c r="Q7" i="12"/>
  <c r="R11" i="12"/>
  <c r="M11" i="12" l="1"/>
  <c r="C23" i="12" l="1"/>
  <c r="D23" i="12" s="1"/>
  <c r="E23" i="12" s="1"/>
  <c r="F23" i="12" s="1"/>
  <c r="G23" i="12" s="1"/>
  <c r="H23" i="12" s="1"/>
  <c r="I23" i="12" s="1"/>
  <c r="J23" i="12" s="1"/>
  <c r="K23" i="12" s="1"/>
  <c r="L23" i="12" s="1"/>
  <c r="B23" i="12"/>
  <c r="L7" i="12" l="1"/>
  <c r="L11" i="12"/>
  <c r="K5" i="12" l="1"/>
  <c r="K11" i="12"/>
  <c r="J4" i="12" l="1"/>
  <c r="J7" i="12"/>
  <c r="J6" i="12"/>
  <c r="I11" i="12" l="1"/>
  <c r="H7" i="12" l="1"/>
  <c r="G11" i="12" l="1"/>
  <c r="F5" i="12" l="1"/>
  <c r="F9" i="12"/>
  <c r="F7" i="12"/>
  <c r="F6" i="12"/>
  <c r="F2" i="12"/>
  <c r="E4" i="12" l="1"/>
  <c r="E3" i="12"/>
  <c r="E9" i="12"/>
  <c r="E12" i="12"/>
  <c r="C9" i="12" l="1"/>
  <c r="C7" i="12"/>
  <c r="C6" i="12"/>
  <c r="D11" i="12"/>
  <c r="D5" i="12"/>
  <c r="B3" i="12" l="1"/>
  <c r="B2" i="12"/>
  <c r="AH13" i="12" l="1"/>
  <c r="A16" i="12" s="1"/>
  <c r="AC13" i="12"/>
  <c r="W13" i="12"/>
  <c r="V13" i="12"/>
  <c r="U13" i="12"/>
  <c r="Q13" i="12"/>
  <c r="M13" i="12"/>
  <c r="J13" i="12"/>
  <c r="I13" i="12"/>
  <c r="H13" i="12"/>
  <c r="F13" i="12"/>
  <c r="E13" i="12"/>
  <c r="B13" i="12"/>
  <c r="AG12" i="12"/>
  <c r="AI12" i="12" s="1"/>
  <c r="AB13" i="12"/>
  <c r="D13" i="12"/>
  <c r="C13" i="12"/>
  <c r="AI10" i="12"/>
  <c r="AG10" i="12"/>
  <c r="K13" i="12"/>
  <c r="AG9" i="12"/>
  <c r="AI9" i="12" s="1"/>
  <c r="AI8" i="12"/>
  <c r="AG8" i="12"/>
  <c r="AG7" i="12"/>
  <c r="AI7" i="12" s="1"/>
  <c r="AG6" i="12"/>
  <c r="AI6" i="12" s="1"/>
  <c r="AG5" i="12"/>
  <c r="AI5" i="12" s="1"/>
  <c r="P13" i="12"/>
  <c r="X13" i="12"/>
  <c r="N13" i="12"/>
  <c r="G13" i="12"/>
  <c r="AF13" i="12"/>
  <c r="AE13" i="12"/>
  <c r="AD13" i="12"/>
  <c r="AA13" i="12"/>
  <c r="Y13" i="12"/>
  <c r="T13" i="12"/>
  <c r="S13" i="12"/>
  <c r="R13" i="12"/>
  <c r="O13" i="12"/>
  <c r="L13" i="12"/>
  <c r="AG3" i="12"/>
  <c r="AI3" i="12" s="1"/>
  <c r="AG2" i="12"/>
  <c r="Z13" i="12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H22" i="12" l="1"/>
  <c r="L22" i="12"/>
  <c r="P22" i="12"/>
  <c r="T22" i="12"/>
  <c r="X22" i="12"/>
  <c r="AB22" i="12"/>
  <c r="AF22" i="12"/>
  <c r="I22" i="12"/>
  <c r="M22" i="12"/>
  <c r="Q22" i="12"/>
  <c r="U22" i="12"/>
  <c r="Y22" i="12"/>
  <c r="AC22" i="12"/>
  <c r="C22" i="12"/>
  <c r="B22" i="12"/>
  <c r="F22" i="12"/>
  <c r="J22" i="12"/>
  <c r="N22" i="12"/>
  <c r="R22" i="12"/>
  <c r="V22" i="12"/>
  <c r="Z22" i="12"/>
  <c r="AD22" i="12"/>
  <c r="D22" i="12"/>
  <c r="G22" i="12"/>
  <c r="K22" i="12"/>
  <c r="O22" i="12"/>
  <c r="S22" i="12"/>
  <c r="W22" i="12"/>
  <c r="AA22" i="12"/>
  <c r="AE22" i="12"/>
  <c r="E22" i="12"/>
  <c r="M23" i="12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11" i="12"/>
  <c r="AI11" i="12" s="1"/>
  <c r="AI2" i="12"/>
  <c r="AG4" i="12"/>
  <c r="AI4" i="12" s="1"/>
  <c r="AE3" i="11"/>
  <c r="AD5" i="11"/>
  <c r="AG13" i="12" l="1"/>
  <c r="AA6" i="11"/>
  <c r="AB6" i="11"/>
  <c r="AA4" i="11"/>
  <c r="AA9" i="11"/>
  <c r="A18" i="12" l="1"/>
  <c r="A20" i="12" s="1"/>
  <c r="AI13" i="12"/>
  <c r="AA12" i="11"/>
  <c r="Z4" i="11" l="1"/>
  <c r="Y2" i="11"/>
  <c r="X2" i="11" l="1"/>
  <c r="X3" i="11"/>
  <c r="W3" i="11" l="1"/>
  <c r="W9" i="11"/>
  <c r="V4" i="11"/>
  <c r="V6" i="11"/>
  <c r="V3" i="11"/>
  <c r="U3" i="11" l="1"/>
  <c r="T3" i="11" l="1"/>
  <c r="S3" i="11" l="1"/>
  <c r="Q3" i="11" l="1"/>
  <c r="P3" i="11"/>
  <c r="N4" i="11" l="1"/>
  <c r="N6" i="11"/>
  <c r="M5" i="11" l="1"/>
  <c r="M4" i="11"/>
  <c r="L4" i="11" l="1"/>
  <c r="K3" i="11" l="1"/>
  <c r="J7" i="11"/>
  <c r="J6" i="11"/>
  <c r="J9" i="11"/>
  <c r="I5" i="11"/>
  <c r="H4" i="11" l="1"/>
  <c r="H9" i="11"/>
  <c r="G9" i="11" l="1"/>
  <c r="G6" i="11"/>
  <c r="G11" i="11"/>
  <c r="F3" i="11" l="1"/>
  <c r="F11" i="11"/>
  <c r="D3" i="11" l="1"/>
  <c r="B4" i="11" l="1"/>
  <c r="B3" i="11"/>
  <c r="B2" i="11"/>
  <c r="B13" i="11" s="1"/>
  <c r="AH8" i="11"/>
  <c r="AH10" i="11"/>
  <c r="AG13" i="11"/>
  <c r="AD13" i="11"/>
  <c r="Z13" i="11"/>
  <c r="W13" i="11"/>
  <c r="V13" i="11"/>
  <c r="U13" i="11"/>
  <c r="T13" i="11"/>
  <c r="S13" i="11"/>
  <c r="R13" i="11"/>
  <c r="N13" i="11"/>
  <c r="J13" i="11"/>
  <c r="F13" i="11"/>
  <c r="AF12" i="11"/>
  <c r="AH12" i="11" s="1"/>
  <c r="AB13" i="11"/>
  <c r="H13" i="11"/>
  <c r="AF11" i="11"/>
  <c r="AH11" i="11" s="1"/>
  <c r="AF10" i="11"/>
  <c r="X13" i="11"/>
  <c r="M13" i="11"/>
  <c r="AF9" i="11"/>
  <c r="AH9" i="11" s="1"/>
  <c r="AF8" i="11"/>
  <c r="AF7" i="11"/>
  <c r="AH7" i="11" s="1"/>
  <c r="O13" i="11"/>
  <c r="AF6" i="11"/>
  <c r="AH6" i="11" s="1"/>
  <c r="AF5" i="11"/>
  <c r="AH5" i="11" s="1"/>
  <c r="P13" i="11"/>
  <c r="AF4" i="11"/>
  <c r="AH4" i="11" s="1"/>
  <c r="AA13" i="11"/>
  <c r="Y13" i="11"/>
  <c r="Q13" i="11"/>
  <c r="E13" i="11"/>
  <c r="D13" i="11"/>
  <c r="AE13" i="11"/>
  <c r="AC13" i="11"/>
  <c r="L13" i="11"/>
  <c r="K13" i="11"/>
  <c r="I13" i="11"/>
  <c r="G13" i="1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16" i="11" l="1"/>
  <c r="AF2" i="11"/>
  <c r="AH2" i="11" s="1"/>
  <c r="C13" i="11"/>
  <c r="AF3" i="11"/>
  <c r="AH3" i="11" s="1"/>
  <c r="AF13" i="11" l="1"/>
  <c r="AH13" i="11" s="1"/>
  <c r="AF3" i="10"/>
  <c r="AF6" i="10"/>
  <c r="AF9" i="10"/>
  <c r="AF5" i="10"/>
  <c r="A18" i="11" l="1"/>
  <c r="A20" i="11" s="1"/>
  <c r="AB11" i="10"/>
  <c r="AE4" i="10"/>
  <c r="AD3" i="10"/>
  <c r="AE3" i="10"/>
  <c r="AE5" i="10"/>
  <c r="AE10" i="10"/>
  <c r="Z2" i="10" l="1"/>
  <c r="Z3" i="10" l="1"/>
  <c r="Y3" i="10"/>
  <c r="AA3" i="10"/>
  <c r="AA8" i="10"/>
  <c r="AA11" i="10"/>
  <c r="X6" i="10" l="1"/>
  <c r="X4" i="10"/>
  <c r="T5" i="10" l="1"/>
  <c r="T9" i="10"/>
  <c r="T3" i="10"/>
  <c r="S3" i="10" l="1"/>
  <c r="R3" i="10" l="1"/>
  <c r="Q6" i="10" l="1"/>
  <c r="R9" i="10"/>
  <c r="Q4" i="10"/>
  <c r="P5" i="10" l="1"/>
  <c r="P2" i="10"/>
  <c r="P11" i="10" l="1"/>
  <c r="O3" i="10"/>
  <c r="O9" i="10"/>
  <c r="N4" i="10"/>
  <c r="N9" i="10"/>
  <c r="N12" i="10" l="1"/>
  <c r="K10" i="10"/>
  <c r="M10" i="10"/>
  <c r="M6" i="10"/>
  <c r="L3" i="10" l="1"/>
  <c r="I2" i="10" l="1"/>
  <c r="I3" i="10" l="1"/>
  <c r="G4" i="10" l="1"/>
  <c r="F9" i="10" l="1"/>
  <c r="E9" i="10"/>
  <c r="E5" i="10"/>
  <c r="D11" i="10"/>
  <c r="C11" i="10"/>
  <c r="O6" i="9" l="1"/>
  <c r="AH13" i="10"/>
  <c r="A16" i="10" s="1"/>
  <c r="AF13" i="10"/>
  <c r="AE13" i="10"/>
  <c r="AC13" i="10"/>
  <c r="AB13" i="10"/>
  <c r="V13" i="10"/>
  <c r="S13" i="10"/>
  <c r="R13" i="10"/>
  <c r="P13" i="10"/>
  <c r="O13" i="10"/>
  <c r="N13" i="10"/>
  <c r="M13" i="10"/>
  <c r="K13" i="10"/>
  <c r="J13" i="10"/>
  <c r="I13" i="10"/>
  <c r="G13" i="10"/>
  <c r="D13" i="10"/>
  <c r="C13" i="10"/>
  <c r="B13" i="10"/>
  <c r="AG12" i="10"/>
  <c r="AI12" i="10" s="1"/>
  <c r="AG11" i="10"/>
  <c r="AI11" i="10" s="1"/>
  <c r="AI10" i="10"/>
  <c r="T13" i="10"/>
  <c r="AA13" i="10"/>
  <c r="AG9" i="10"/>
  <c r="AI9" i="10" s="1"/>
  <c r="AI8" i="10"/>
  <c r="AG8" i="10"/>
  <c r="AG7" i="10"/>
  <c r="AI7" i="10" s="1"/>
  <c r="AG6" i="10"/>
  <c r="AI6" i="10" s="1"/>
  <c r="AG5" i="10"/>
  <c r="AI5" i="10" s="1"/>
  <c r="X13" i="10"/>
  <c r="L13" i="10"/>
  <c r="F13" i="10"/>
  <c r="Z13" i="10"/>
  <c r="W13" i="10"/>
  <c r="Q13" i="10"/>
  <c r="AG3" i="10"/>
  <c r="AI3" i="10" s="1"/>
  <c r="AG2" i="10"/>
  <c r="AD13" i="10"/>
  <c r="Y13" i="10"/>
  <c r="U13" i="10"/>
  <c r="E13" i="10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E2" i="9"/>
  <c r="AE9" i="9"/>
  <c r="AB11" i="9"/>
  <c r="AA5" i="9"/>
  <c r="AC2" i="9"/>
  <c r="AC3" i="9"/>
  <c r="AA9" i="9"/>
  <c r="AI2" i="10" l="1"/>
  <c r="AG10" i="10"/>
  <c r="H13" i="10"/>
  <c r="AG4" i="10"/>
  <c r="AI4" i="10" s="1"/>
  <c r="AA3" i="9"/>
  <c r="AG13" i="10" l="1"/>
  <c r="X9" i="9"/>
  <c r="Y3" i="9"/>
  <c r="AI13" i="10" l="1"/>
  <c r="A18" i="10"/>
  <c r="A20" i="10" s="1"/>
  <c r="R5" i="9"/>
  <c r="Q3" i="9"/>
  <c r="Q11" i="9"/>
  <c r="Q6" i="9"/>
  <c r="P4" i="9"/>
  <c r="N2" i="9" l="1"/>
  <c r="N3" i="9"/>
  <c r="N9" i="9"/>
  <c r="M9" i="9"/>
  <c r="L10" i="9" l="1"/>
  <c r="L6" i="9"/>
  <c r="L9" i="9"/>
  <c r="L2" i="9"/>
  <c r="K11" i="9" l="1"/>
  <c r="K2" i="9"/>
  <c r="I2" i="9"/>
  <c r="J11" i="9" l="1"/>
  <c r="J6" i="9"/>
  <c r="I4" i="9"/>
  <c r="I12" i="9"/>
  <c r="I11" i="9"/>
  <c r="H11" i="9"/>
  <c r="G2" i="9" l="1"/>
  <c r="G11" i="9"/>
  <c r="F6" i="9" l="1"/>
  <c r="F9" i="9"/>
  <c r="D10" i="9" l="1"/>
  <c r="E7" i="9"/>
  <c r="C9" i="9"/>
  <c r="C13" i="9" s="1"/>
  <c r="E3" i="9"/>
  <c r="D3" i="9"/>
  <c r="B5" i="9"/>
  <c r="B13" i="9" s="1"/>
  <c r="C4" i="9"/>
  <c r="D13" i="9" s="1"/>
  <c r="AG13" i="9"/>
  <c r="A16" i="9" s="1"/>
  <c r="AC13" i="9"/>
  <c r="AB13" i="9"/>
  <c r="V13" i="9"/>
  <c r="S13" i="9"/>
  <c r="R13" i="9"/>
  <c r="P13" i="9"/>
  <c r="O13" i="9"/>
  <c r="N13" i="9"/>
  <c r="M13" i="9"/>
  <c r="K13" i="9"/>
  <c r="J13" i="9"/>
  <c r="I13" i="9"/>
  <c r="G13" i="9"/>
  <c r="AF12" i="9"/>
  <c r="AH12" i="9" s="1"/>
  <c r="AF11" i="9"/>
  <c r="AH11" i="9" s="1"/>
  <c r="T13" i="9"/>
  <c r="AH8" i="9"/>
  <c r="AF8" i="9"/>
  <c r="AF7" i="9"/>
  <c r="AH7" i="9" s="1"/>
  <c r="AF5" i="9"/>
  <c r="AH5" i="9" s="1"/>
  <c r="L13" i="9"/>
  <c r="F13" i="9"/>
  <c r="Z13" i="9"/>
  <c r="W13" i="9"/>
  <c r="Q13" i="9"/>
  <c r="AE13" i="9"/>
  <c r="AD13" i="9"/>
  <c r="Y13" i="9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2" i="9" l="1"/>
  <c r="AH2" i="9" s="1"/>
  <c r="AF3" i="9"/>
  <c r="AH3" i="9" s="1"/>
  <c r="AF9" i="9"/>
  <c r="AH9" i="9" s="1"/>
  <c r="X13" i="9"/>
  <c r="AF6" i="9"/>
  <c r="AH6" i="9" s="1"/>
  <c r="AA13" i="9"/>
  <c r="E13" i="9"/>
  <c r="AF10" i="9"/>
  <c r="AH10" i="9" s="1"/>
  <c r="H13" i="9"/>
  <c r="U13" i="9"/>
  <c r="AF4" i="9"/>
  <c r="AH4" i="9" s="1"/>
  <c r="AD9" i="7"/>
  <c r="AD2" i="7"/>
  <c r="AD12" i="7"/>
  <c r="AE2" i="7"/>
  <c r="AF13" i="9" l="1"/>
  <c r="T10" i="7"/>
  <c r="Y2" i="7"/>
  <c r="AA12" i="7"/>
  <c r="AA6" i="7"/>
  <c r="AA9" i="7"/>
  <c r="Z3" i="7"/>
  <c r="A18" i="9" l="1"/>
  <c r="A20" i="9" s="1"/>
  <c r="AH13" i="9"/>
  <c r="Y7" i="7"/>
  <c r="Y6" i="7"/>
  <c r="X11" i="7"/>
  <c r="X4" i="7" l="1"/>
  <c r="X9" i="7"/>
  <c r="W3" i="7" l="1"/>
  <c r="U2" i="7" l="1"/>
  <c r="Q11" i="7" l="1"/>
  <c r="Q3" i="7"/>
  <c r="L4" i="7" l="1"/>
  <c r="H3" i="7" l="1"/>
  <c r="F4" i="7" l="1"/>
  <c r="F9" i="7"/>
  <c r="E2" i="7" l="1"/>
  <c r="E6" i="7"/>
  <c r="E9" i="7"/>
  <c r="AH13" i="7" l="1"/>
  <c r="A16" i="7" s="1"/>
  <c r="AF13" i="7"/>
  <c r="AE13" i="7"/>
  <c r="T13" i="7"/>
  <c r="P13" i="7"/>
  <c r="K13" i="7"/>
  <c r="I13" i="7"/>
  <c r="H13" i="7"/>
  <c r="G13" i="7"/>
  <c r="C13" i="7"/>
  <c r="B13" i="7"/>
  <c r="AG12" i="7"/>
  <c r="AI12" i="7" s="1"/>
  <c r="U13" i="7"/>
  <c r="Q13" i="7"/>
  <c r="AG11" i="7"/>
  <c r="AI11" i="7" s="1"/>
  <c r="AI10" i="7"/>
  <c r="AA13" i="7"/>
  <c r="AG10" i="7"/>
  <c r="AD13" i="7"/>
  <c r="R13" i="7"/>
  <c r="O13" i="7"/>
  <c r="AG9" i="7"/>
  <c r="AI9" i="7" s="1"/>
  <c r="AI8" i="7"/>
  <c r="AG8" i="7"/>
  <c r="AG7" i="7"/>
  <c r="AI7" i="7" s="1"/>
  <c r="S13" i="7"/>
  <c r="AG6" i="7"/>
  <c r="AI6" i="7" s="1"/>
  <c r="Z13" i="7"/>
  <c r="Y13" i="7"/>
  <c r="X13" i="7"/>
  <c r="J13" i="7"/>
  <c r="AG5" i="7"/>
  <c r="AI5" i="7" s="1"/>
  <c r="AB13" i="7"/>
  <c r="F13" i="7"/>
  <c r="AC13" i="7"/>
  <c r="W13" i="7"/>
  <c r="M13" i="7"/>
  <c r="AG3" i="7"/>
  <c r="AI3" i="7" s="1"/>
  <c r="V13" i="7"/>
  <c r="N13" i="7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E13" i="7" l="1"/>
  <c r="D13" i="7"/>
  <c r="L13" i="7"/>
  <c r="AG2" i="7"/>
  <c r="AG4" i="7"/>
  <c r="AI4" i="7" s="1"/>
  <c r="AC12" i="6"/>
  <c r="AC4" i="6"/>
  <c r="AG13" i="7" l="1"/>
  <c r="AI2" i="7"/>
  <c r="AA3" i="6"/>
  <c r="AA9" i="6"/>
  <c r="AI13" i="7" l="1"/>
  <c r="A18" i="7"/>
  <c r="A20" i="7" s="1"/>
  <c r="Z6" i="6"/>
  <c r="Z2" i="6"/>
  <c r="V4" i="6" l="1"/>
  <c r="V6" i="6"/>
  <c r="V3" i="6"/>
  <c r="V11" i="6"/>
  <c r="V9" i="6"/>
  <c r="U10" i="6" l="1"/>
  <c r="U3" i="6"/>
  <c r="T2" i="6" l="1"/>
  <c r="S10" i="6" l="1"/>
  <c r="S4" i="6"/>
  <c r="R3" i="6"/>
  <c r="R9" i="6"/>
  <c r="O12" i="6" l="1"/>
  <c r="O5" i="6"/>
  <c r="L4" i="6" l="1"/>
  <c r="L11" i="6"/>
  <c r="K9" i="6" l="1"/>
  <c r="J3" i="6"/>
  <c r="H12" i="6" l="1"/>
  <c r="F4" i="6" l="1"/>
  <c r="F9" i="6"/>
  <c r="D3" i="6" l="1"/>
  <c r="E13" i="6"/>
  <c r="E5" i="6"/>
  <c r="E9" i="6"/>
  <c r="AI13" i="5" l="1"/>
  <c r="AI12" i="5"/>
  <c r="AI11" i="5"/>
  <c r="AI10" i="5"/>
  <c r="AI9" i="5"/>
  <c r="AI8" i="5"/>
  <c r="AI7" i="5"/>
  <c r="AI6" i="5"/>
  <c r="AI5" i="5"/>
  <c r="AI4" i="5"/>
  <c r="AI3" i="5"/>
  <c r="AI2" i="5"/>
  <c r="AF8" i="6"/>
  <c r="AF10" i="6"/>
  <c r="C11" i="6"/>
  <c r="C13" i="6" s="1"/>
  <c r="B3" i="6"/>
  <c r="AF4" i="5"/>
  <c r="AF9" i="5"/>
  <c r="AE9" i="5"/>
  <c r="AE13" i="6"/>
  <c r="A16" i="6" s="1"/>
  <c r="Q13" i="6"/>
  <c r="I13" i="6"/>
  <c r="H13" i="6"/>
  <c r="G13" i="6"/>
  <c r="D13" i="6"/>
  <c r="B13" i="6"/>
  <c r="AD12" i="6"/>
  <c r="AF12" i="6" s="1"/>
  <c r="U13" i="6"/>
  <c r="T13" i="6"/>
  <c r="AD10" i="6"/>
  <c r="R13" i="6"/>
  <c r="O13" i="6"/>
  <c r="AD9" i="6"/>
  <c r="AF9" i="6" s="1"/>
  <c r="AD8" i="6"/>
  <c r="AD7" i="6"/>
  <c r="AF7" i="6" s="1"/>
  <c r="S13" i="6"/>
  <c r="AD6" i="6"/>
  <c r="AF6" i="6" s="1"/>
  <c r="Z13" i="6"/>
  <c r="Y13" i="6"/>
  <c r="X13" i="6"/>
  <c r="K13" i="6"/>
  <c r="J13" i="6"/>
  <c r="AD5" i="6"/>
  <c r="AF5" i="6" s="1"/>
  <c r="AD4" i="6"/>
  <c r="AF4" i="6" s="1"/>
  <c r="AB13" i="6"/>
  <c r="P13" i="6"/>
  <c r="F13" i="6"/>
  <c r="AC13" i="6"/>
  <c r="AA13" i="6"/>
  <c r="W13" i="6"/>
  <c r="M13" i="6"/>
  <c r="AD3" i="6"/>
  <c r="AF3" i="6" s="1"/>
  <c r="V13" i="6"/>
  <c r="AD2" i="6"/>
  <c r="AF2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1" i="6" l="1"/>
  <c r="L13" i="6"/>
  <c r="N13" i="6"/>
  <c r="AD13" i="6" l="1"/>
  <c r="A18" i="6" s="1"/>
  <c r="A20" i="6" s="1"/>
  <c r="AF11" i="6"/>
  <c r="AD11" i="5"/>
  <c r="AD9" i="5"/>
  <c r="AF13" i="6" l="1"/>
  <c r="AC3" i="5"/>
  <c r="AC10" i="5"/>
  <c r="AC5" i="5"/>
  <c r="AB4" i="5" l="1"/>
  <c r="AA3" i="5" l="1"/>
  <c r="AA10" i="5"/>
  <c r="AA5" i="5"/>
  <c r="Z5" i="5" l="1"/>
  <c r="Y5" i="5" l="1"/>
  <c r="X5" i="5" l="1"/>
  <c r="W2" i="5"/>
  <c r="W3" i="5"/>
  <c r="AG5" i="5" l="1"/>
  <c r="W4" i="5"/>
  <c r="W9" i="5"/>
  <c r="W11" i="5"/>
  <c r="V9" i="5"/>
  <c r="V2" i="5"/>
  <c r="U11" i="5"/>
  <c r="T3" i="5" l="1"/>
  <c r="T11" i="5"/>
  <c r="S6" i="5" l="1"/>
  <c r="S4" i="5"/>
  <c r="R9" i="5" l="1"/>
  <c r="R11" i="5"/>
  <c r="R10" i="5"/>
  <c r="Q11" i="5" l="1"/>
  <c r="P4" i="5" l="1"/>
  <c r="P6" i="5"/>
  <c r="O9" i="5" l="1"/>
  <c r="N2" i="5" l="1"/>
  <c r="N9" i="5"/>
  <c r="M10" i="5" l="1"/>
  <c r="M11" i="5"/>
  <c r="M3" i="5"/>
  <c r="L3" i="5" l="1"/>
  <c r="L6" i="5"/>
  <c r="K6" i="5" l="1"/>
  <c r="K10" i="5"/>
  <c r="K5" i="5"/>
  <c r="J5" i="5" l="1"/>
  <c r="G9" i="5" l="1"/>
  <c r="G5" i="5"/>
  <c r="F4" i="5" l="1"/>
  <c r="E7" i="5" l="1"/>
  <c r="E6" i="5"/>
  <c r="D7" i="5" l="1"/>
  <c r="D9" i="5"/>
  <c r="D6" i="5"/>
  <c r="AH13" i="5" l="1"/>
  <c r="A16" i="5" s="1"/>
  <c r="T13" i="5"/>
  <c r="S13" i="5"/>
  <c r="G13" i="5"/>
  <c r="C13" i="5"/>
  <c r="AG12" i="5"/>
  <c r="AF13" i="5"/>
  <c r="U13" i="5"/>
  <c r="K13" i="5"/>
  <c r="AG11" i="5"/>
  <c r="AG10" i="5"/>
  <c r="AC13" i="5"/>
  <c r="Y13" i="5"/>
  <c r="O13" i="5"/>
  <c r="J13" i="5"/>
  <c r="AG9" i="5"/>
  <c r="AG8" i="5"/>
  <c r="R13" i="5"/>
  <c r="V13" i="5"/>
  <c r="L13" i="5"/>
  <c r="AG7" i="5"/>
  <c r="M13" i="5"/>
  <c r="AG6" i="5"/>
  <c r="AA13" i="5"/>
  <c r="I13" i="5"/>
  <c r="AD13" i="5"/>
  <c r="Z13" i="5"/>
  <c r="X13" i="5"/>
  <c r="W13" i="5"/>
  <c r="F13" i="5"/>
  <c r="AE13" i="5"/>
  <c r="Q13" i="5"/>
  <c r="P13" i="5"/>
  <c r="N13" i="5"/>
  <c r="H13" i="5"/>
  <c r="E13" i="5"/>
  <c r="D13" i="5"/>
  <c r="B13" i="5"/>
  <c r="AB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4" i="5" l="1"/>
  <c r="AG2" i="5"/>
  <c r="AG3" i="5"/>
  <c r="AG13" i="5" l="1"/>
  <c r="A18" i="5" s="1"/>
  <c r="A20" i="5" s="1"/>
</calcChain>
</file>

<file path=xl/comments1.xml><?xml version="1.0" encoding="utf-8"?>
<comments xmlns="http://schemas.openxmlformats.org/spreadsheetml/2006/main">
  <authors>
    <author>Rahul</author>
  </authors>
  <commentList>
    <comment ref="N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Crocin=13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Underwear=170
Sanitizer=55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Unienzyme=40
Hajmola=3
Digeine=15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Gol Gappe=20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Top Ramen=178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Fun Flips=10
Ras Malai=30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Limca=40
Bana Chips=60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CCD Sandwich=156
Tapioca Chips=25</t>
        </r>
      </text>
    </comment>
    <comment ref="AC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Limca=40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Sweets with Akram=70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GLR for Sam's Café=300
Wood for Neha=200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Team Ice Cream=40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Ice Cream for Shobha Masi=122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Pastries=30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Champe with Eshan=200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Tubelight Installation = 400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Choclates for Team = 40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Sweets with Team=150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Biscuit=100
Keenu with Pooja=20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Minutes Photocopy=95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SOSONA Refund=6000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SOSONA Return=71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Remaining Rent=3500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PACNA 3=1000
Gifts for everyone=1600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NH Coda = 10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 = 20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NH Coda=20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BOR=50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Gurdwara BS w/ Kunalika = 50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Sweets with Rajeev=30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HKV with ACA Gang=470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RKAM Metro to NH = 10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to office = 99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to Navada Metro=25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Petrol=270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Petrol=189
Tyre=10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Bus t/f Wayanad=1030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Bus to Tin Factory=234
Cab to IGI=168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 Infinitea=129
To Airport=444
To Home=209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Petrol=200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R/C=100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Ayushi=-100
From Mitra=-100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Returned to Ayushi=100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 Mitra=100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For Sanchay=3500
Returned Sanchay=-500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Fron Sanchay=-3000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 from Pasta Express=215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Dinner=40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Oats=145
Lunch=47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 = 37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Bilal=330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B'fast on Flight=300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Subway=220</t>
        </r>
      </text>
    </comment>
  </commentList>
</comments>
</file>

<file path=xl/comments10.xml><?xml version="1.0" encoding="utf-8"?>
<comments xmlns="http://schemas.openxmlformats.org/spreadsheetml/2006/main">
  <authors>
    <author>Rahul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Haircut=50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Meds=185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Ahaglow+Clindac+RetinoA=600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Probiotics=500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Haircut=100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Keto Shampoo=150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Air Mask=100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Pankaj Ice cream=90
Eggs=45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Aanya Choc=230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For Mahi=250
For Eshaan=195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Google Music=89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Mouse=180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Netflix=800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Netflix Rohit=-150
Netflix Kuns=-150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Chintu Bhaiya=-500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Bhai Dooj=500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WOC=50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 Tuesday=50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Survivors=50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Stepping=50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 Tuesday=100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ACA=40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Coda=50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Green Tea=130
Tea=20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Home=162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Petrol=100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Pooja's Metro RC=200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Petrol=200
Tire=180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Rajiv=-1000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Ashish=-2000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Smalloo=2300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Rajeev Return=1000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Return from Pankaj=-550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Hari=-1000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Rohit's Eco=2300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KFC with Pankaj=400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Eggs=30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Salami=315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Dinner@Work=538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Yoghurt=30
Eggs=25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Manoj=519
Dahi x2=20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 Salami=135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Salad Chicken=85
Cashews=600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Salad Chicken=93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Cashew=150
Dahi=50
Chicken=81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 with Mom=380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Lunch=230
Milk and Garlic=35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Pankaj=1100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Spice Aangan=280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Salad Lunch=262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Lunch=209
Deepanshu Din=353
Akram Din=476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Mutton Kebab=248
Salad=207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Eggs=10
Chaap=50
Paneer=70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Boiled Eggs=20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Eggs=30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Chicken=162
Coconut Oil=85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Mutton Seekh for Salad=75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 Seekh=81
KFC Chicken=429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Chicken=126
Veggies=245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Chaape with Mahi=245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Cashews=520
Oats=336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Salami=96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Turkey=200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Blade Runner w/Kartik=980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KFC Burger as Love=195</t>
        </r>
      </text>
    </comment>
  </commentList>
</comments>
</file>

<file path=xl/comments11.xml><?xml version="1.0" encoding="utf-8"?>
<comments xmlns="http://schemas.openxmlformats.org/spreadsheetml/2006/main">
  <authors>
    <author>Rahul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n95 Mask=200
Honeywell Mask=249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Watch EMI=876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Facial=700
Minoxidil=570
Clothes=800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Rohit Belt=1000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Eggs=24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Starbucks MahEsh=708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 Mam=70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Smaash with Ragini=650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TTech Brochure=350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Portal+Arkham=573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Pooja Recharge=500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AA A2PV=20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 Monday=13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 Tuesday=50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BOR=30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WOC=50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ACA=100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Starnucks Mahi=-200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Tea=40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Rohit Rations=400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Vegetables=300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Quinoa+Rajma+Cashew+Oil=1150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Ola back Home=130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Servicing and Cover=800
Petrol=200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RC=1000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Petrol=250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Hari=-1000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Chicken=142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Chicken=56
KFC=389
Salad=320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Chicken=83
KFC=262
Chicken with MahEsh=435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Eggs=60
Chicken=60
Boiled Eggs=23
Fish=195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Cashews=150
Chicken=70
Quinoa=225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Tofu=90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Salami=139
Chicken+Sardines=164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
Chaape=220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
Chicken=112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Cashew, Sardine, Oil=285
Chicken=120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
Yogurt=40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Boiled Eggs=30
Omlette=30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Sardines=79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Chicken=59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Food=197
Th Groceries=670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Food=98
KFC=199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Food=119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Food=224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Food=246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Food=201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Avengers=509</t>
        </r>
      </text>
    </comment>
  </commentList>
</comments>
</file>

<file path=xl/comments12.xml><?xml version="1.0" encoding="utf-8"?>
<comments xmlns="http://schemas.openxmlformats.org/spreadsheetml/2006/main">
  <authors>
    <author>Rahul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Pull-up bar=1349
Haircut=150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Gillete Razor=289</t>
        </r>
      </text>
    </comment>
    <comment ref="AH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Clothes=1000
Minoxidil + Grooming=1000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Nachos=85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Piano Man cover=300
Piano Man food=1498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Barista with Kartik=555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Maali=300
24x7=69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Pahwa Consulting=6400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Syracuse + Economist=7318
Google Play=89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Noah's Present=1989</t>
        </r>
      </text>
    </comment>
    <comment ref="P5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Convention Advance=1500
Flight=6122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Economist=2300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coda=50</t>
        </r>
      </text>
    </comment>
    <comment ref="P7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Dosa=100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Tyre Repair=200
Petrol=294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to Piano man=168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Petrol=295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Ashish=2000
From Hari=-1000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Food=110
Mutton=225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 at Spice Aangan=230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Fish=79
Kebab=60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Food=85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Cashew=150
Fish=79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Fish=79
Chicken=150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Food=141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Zomato=232
Chicken+Cake=476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Chicken Korma=90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Food=217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Chicken Garlic=121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Rahul:</t>
        </r>
        <r>
          <rPr>
            <sz val="9"/>
            <color indexed="81"/>
            <rFont val="Tahoma"/>
            <charset val="1"/>
          </rPr>
          <t xml:space="preserve">
Chicken=90
Salad=300</t>
        </r>
      </text>
    </comment>
  </commentList>
</comments>
</file>

<file path=xl/comments2.xml><?xml version="1.0" encoding="utf-8"?>
<comments xmlns="http://schemas.openxmlformats.org/spreadsheetml/2006/main">
  <authors>
    <author>Rahul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Doctor Bhatia=400
Meds=211
Sinarest=36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VP Bhatia=400
Meds=185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Choclat=55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Choclates for Team=60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Chips=40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Pizza=258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Cake=15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Strawbery Pastry=80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Chowmein=50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Champe with Gagan=110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With John ACA=326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Movie with Pankaj=809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Fries w/Kunalika=80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Sweets=110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Police Fine=100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Sahil Bet=500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Coda=20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Petrol=330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Metro=200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Navada to Of=20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Petrol=300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fo SDJ=220
Auto to Green Park=50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Metro=80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Kuldeep's Package=679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Return from Kuldeep=-680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Top Ramen and Oats=387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Lunch=40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Mini Thali=209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Barista=433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Pizza=450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Frankenstien=28
Big Data=335</t>
        </r>
      </text>
    </comment>
  </commentList>
</comments>
</file>

<file path=xl/comments3.xml><?xml version="1.0" encoding="utf-8"?>
<comments xmlns="http://schemas.openxmlformats.org/spreadsheetml/2006/main">
  <authors>
    <author>Rahul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Medical Stuff=1070
VP Bhatia=400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Ice Pack=310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Clothes=3000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Dr Bhatia=400
Meds=200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Probiotic=100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Chocloate=34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Chocolctae=20
Chips=50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Rations with Mitra=294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Barista B'fast=468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Shakes@Fest=550
Shakes w/Kartil=550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 with Kartik=904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Mithai with team=80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WOC=20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Stepping Fw=100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 FAITH=50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Sabu Celebration=200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Petrol=270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R/C=200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Petrol=290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Bus to ACA=5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Cab=150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Petrol=240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Mitra Kindle=-3000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Kachodi=30
Lunch=120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Lunch=60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Logan Ticket=400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Subway=209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Popcorn=380</t>
        </r>
      </text>
    </comment>
  </commentList>
</comments>
</file>

<file path=xl/comments4.xml><?xml version="1.0" encoding="utf-8"?>
<comments xmlns="http://schemas.openxmlformats.org/spreadsheetml/2006/main">
  <authors>
    <author>Rahul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Zyndet=135
Ice Pack=300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Haircut=100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Shave=70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Clothes Fitting=200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Contractubex, Retino A, Ahaglow=1200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Hair4U=490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Face Meds=215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40 Biscuits=198
2 Kinder Joys=80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Cashews=275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Chizza Mean=419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Mixture=10
Cane Juice=20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Subway=290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Yogurt=15
Bananas=10</t>
        </r>
      </text>
    </comment>
    <comment ref="AC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Sandwich=310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 with Das=878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w/MahinEshaan=1688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Ice Cream w/Pankaj=264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Amazon Helpdesk R/c=198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Scooter screws=10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Arkham Knight=141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BOR=30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Naya Savera=20
Celebration=690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Survivors=1100
Dinner=1100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BOR=10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Champe=270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R/c=200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office=20
Petrol=240
Tyre Fix=240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Office=20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Office=20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Office=20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Petrol=50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Uber=97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Petrol=290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Ashish=-500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Returned to Ashish=500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Lunch=50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 Hut=385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KFC Lunch=289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Chhole Bhature=85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Bananas=50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Bananas=10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Dominos=836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Ice Cream=365</t>
        </r>
      </text>
    </comment>
  </commentList>
</comments>
</file>

<file path=xl/comments5.xml><?xml version="1.0" encoding="utf-8"?>
<comments xmlns="http://schemas.openxmlformats.org/spreadsheetml/2006/main">
  <authors>
    <author>Rahul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Contractubex=790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Flu Shot=500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Keraglow Men=160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Dahi=65
Salad=139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Kulfi w/Team=120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Corn=50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Yoghurt=20
Bananas=10
Biscuits=100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Kurkure=10
Dahi=15
Bananas=10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Dahi=25
Bananas=10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Yogurt=35
Bananas=10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Yogurt=35
Bananas=10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Yogurt=35
Bananas=10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Dahi=25
Bananas=10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 at CCD=89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Dahi=25
Bananas=10
KFC=177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w/Das=500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Pankaj=300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Pankaj=1300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Mahi=280</t>
        </r>
      </text>
    </comment>
    <comment ref="AE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Chips and Drinks for Team=150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Bag=1599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Scooter Service=700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 Convention=150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Theatre Tickets to Kunalika=100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Ashish Bet=-500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Survivors=16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Coda=50
Auto=10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 Tuesday=50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Soaps for Home=200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Akram's Uber=493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Uber Home=99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Metro=200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Petrol=100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Cb from Pankaj to Office=450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Petrol=200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BOR=10
Metro=20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Rajeev=-100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Rajeev=100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Money to Karina=210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Champ=170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Dinner=1611
Lunch=265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Happy Hakka=223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Dinner=165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Pizza=300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 for Pankaj=495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Google Play Music=104</t>
        </r>
      </text>
    </comment>
  </commentList>
</comments>
</file>

<file path=xl/comments6.xml><?xml version="1.0" encoding="utf-8"?>
<comments xmlns="http://schemas.openxmlformats.org/spreadsheetml/2006/main">
  <authors>
    <author>Rahul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Contractubex and Minoxidil=1340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Face Ointments=1014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Probiotic Meds=460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Dahi=25
Bananas=10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 and Chips for Ankur=50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Dahi=25
Bananas=10
Corn=10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Yoghurt=25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Yoghurt=25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Kurkure=10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Chips=20
Kurkure=10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Kookaa=240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Yoghurt=25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Bread Pakoda=10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Yogurt=25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Yogurt=20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Zomato=300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Gol Gappe=60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Social with Tarun=1000
CP with Mahi=100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With Ruhani=194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Golgappe with Karina=90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Summerhouse=378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Chaape with Mahi=200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Das=200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 with Mahesh=300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Hitchhikers Book=590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Economist=2300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Rajeev's Bet=200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Survivors=50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Survivors=40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Coda=10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ACA=40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WOC=50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Coda=50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Dinner with Manoj=200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Uber Home=217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
Auto to GP=50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Petrol=280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Tyre Tube=220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Petrol=291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Cashews=275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KFC Chicken=265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McDonalds with Emm=580</t>
        </r>
      </text>
    </comment>
  </commentList>
</comments>
</file>

<file path=xl/comments7.xml><?xml version="1.0" encoding="utf-8"?>
<comments xmlns="http://schemas.openxmlformats.org/spreadsheetml/2006/main">
  <authors>
    <author>Rahul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Zyndett=185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Clothes Fitting=280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Betadine and Sanitizer=220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Azithro=36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Probiotics=468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Kurkure=20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Baked Nachos=330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Break Pakoda=30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Nachos=75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Kurkure=10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CCD HKV with Eshan and Kartik=637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Pankaj Ice cream=224
Shahi Tukda=150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Team=1355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Guitar App=250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The Economist=350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DA Book=700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Mom's Anniversary=1100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 with Anamika=950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ACA=50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ACA=10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 Sunday=20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BOR=20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ACA=12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ACA=20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Nachos=50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Tea=45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Milind Dinner=500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Break Pakoda=20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Mahi=180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Chaape with Eshaan=290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Petrol=261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to Survivors=50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Bus SVP to Dw=15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New Metro Card=150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Petrol=230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Petrol=260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KFC Food=212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Yogurt=10
Dinner w/Rohit=180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Soya=197
Sandwich=15
Ful Flips=5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Uttapam=130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Yohurt=10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Omlette=30
Chicken=160
Yogurt=10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Yohurt=10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Yohurt=10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Sandwich=120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Pizza Hut=350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Chaape with Maali=250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 with Rohit=230
Kiwis=200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Movie=399</t>
        </r>
      </text>
    </comment>
  </commentList>
</comments>
</file>

<file path=xl/comments8.xml><?xml version="1.0" encoding="utf-8"?>
<comments xmlns="http://schemas.openxmlformats.org/spreadsheetml/2006/main">
  <authors>
    <author>Rahul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Pyjama=500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Doctor=400
Medicines=240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Dr Bhatia=400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Probiotics=450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Nachos=50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Coconut Water=80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SHC with Mahi=1000</t>
        </r>
      </text>
    </comment>
    <comment ref="AD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SHC Food=200
Cash from Amit=-200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Mohit's Guitar Gear=1594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Naina Rakhi=500
By Mami=-1500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Google Music=89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Devanshi Rakhi=500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Netflix=800
Typing Test=3210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Hard Times Album=130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Master Traders=300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Typing Test=$50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BOR=30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Rajat=280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Rajat=100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Eshan/Vaish=550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L'Opera for Amit=272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Rohit's birthday=1000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Naina and Devanshi Rakhi=2000
Rohit B'day=1000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Tyre Punctures=60
Petrol=300
Metro=500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Serviving=600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Petrol=273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with Mahi=200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Petrol=290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Cab to SHC=185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Paytm to Pooja=1000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for Bhua=450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 with Rajat=200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Biryani and Butter=679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Chicken at work=242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Sandwich at Barista=235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Zomato Chicken=300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Paranthas @ BnL=120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Chaap=200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Wimpy Burger=202</t>
        </r>
      </text>
    </comment>
  </commentList>
</comments>
</file>

<file path=xl/comments9.xml><?xml version="1.0" encoding="utf-8"?>
<comments xmlns="http://schemas.openxmlformats.org/spreadsheetml/2006/main">
  <authors>
    <author>Rahul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Groceries=2602
Haircut=500
Hypermart card=150
Oats=255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Minoxidil=560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VP Bhatia=400
Meds=210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Soda=15
Moong Dal=10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Nachosx2=70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Potatoes with Akram=80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Cashews=150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Logan Lucky=761
Daddy=1152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Paneer Patty for Deepanshu=50
Ram Laddu=30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RC Toilet=5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Voter Card=40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Diago Return=-500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WES Evaluation=13579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Netflix=800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DU Form=1111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DHL WES=1780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WOC=50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Gulab Jamun=140
Survivors=10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ACA Wed=50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Tea with Viv=200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Bus to NP=15
Bus to IIT=10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 from SHC to Home=110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Petrol=250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Srishty Cab=361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Petrol=212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Autos=20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Metro Rc=500
Petrol=200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Borrowed from Dad=-10000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From Kunalika=-800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Food with Mom=387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Chaipoint with Karina=480
Chaape=170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GMAT Dinner=711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City Social with Das=625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Lunch with Pankaj=528+129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Cashwes=165
Chaape=400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Kareena Pizza Hut=583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Healthy eggs and Salad=150
Peanuts=30
Zomato Dinner=318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Quinoa+Cashews+Almonds+Coconut Oil+Oats=1164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Oddbird Ticket=300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Rick and Morty Tshirt=649</t>
        </r>
      </text>
    </comment>
  </commentList>
</comments>
</file>

<file path=xl/sharedStrings.xml><?xml version="1.0" encoding="utf-8"?>
<sst xmlns="http://schemas.openxmlformats.org/spreadsheetml/2006/main" count="216" uniqueCount="18">
  <si>
    <t>Category Total</t>
  </si>
  <si>
    <t>Planned Total</t>
  </si>
  <si>
    <t>Grooming and Health</t>
  </si>
  <si>
    <t>Snack</t>
  </si>
  <si>
    <t>Socializing</t>
  </si>
  <si>
    <t>Misc</t>
  </si>
  <si>
    <t>After Meeting</t>
  </si>
  <si>
    <t>Domestic</t>
  </si>
  <si>
    <t>Transport</t>
  </si>
  <si>
    <t>Lending</t>
  </si>
  <si>
    <t>Food</t>
  </si>
  <si>
    <t>Leisure</t>
  </si>
  <si>
    <t>Total</t>
  </si>
  <si>
    <t>12 Step Meeting</t>
  </si>
  <si>
    <t>Budget</t>
  </si>
  <si>
    <t>Actual</t>
  </si>
  <si>
    <t>Depletion</t>
  </si>
  <si>
    <t>%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</si>
</sst>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0" xfId="0" applyFill="1"/>
    <xf numFmtId="0" fontId="1" fillId="0" borderId="1" xfId="0" applyFont="1" applyFill="1" applyBorder="1"/>
    <xf numFmtId="0" fontId="1" fillId="0" borderId="1" xfId="0" applyFont="1" applyBorder="1"/>
    <xf numFmtId="9" fontId="0" fillId="0" borderId="0" xfId="1" applyFont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1" fillId="2" borderId="1" xfId="0" applyFont="1" applyFill="1" applyBorder="1"/>
    <xf numFmtId="0" fontId="0" fillId="4" borderId="1" xfId="0" applyFill="1" applyBorder="1"/>
    <xf numFmtId="9" fontId="0" fillId="4" borderId="1" xfId="1" applyFont="1" applyFill="1" applyBorder="1"/>
    <xf numFmtId="9" fontId="0" fillId="0" borderId="1" xfId="1" applyFont="1" applyBorder="1"/>
    <xf numFmtId="16" fontId="0" fillId="0" borderId="1" xfId="0" applyNumberFormat="1" applyBorder="1" applyAlignment="1">
      <alignment horizontal="center"/>
    </xf>
    <xf numFmtId="9" fontId="0" fillId="4" borderId="0" xfId="1" applyFont="1" applyFill="1" applyBorder="1"/>
    <xf numFmtId="0" fontId="5" fillId="0" borderId="1" xfId="0" applyFont="1" applyBorder="1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3" borderId="2" xfId="0" applyFont="1" applyFill="1" applyBorder="1"/>
    <xf numFmtId="9" fontId="5" fillId="0" borderId="1" xfId="1" applyFont="1" applyBorder="1"/>
    <xf numFmtId="0" fontId="5" fillId="3" borderId="1" xfId="0" applyFont="1" applyFill="1" applyBorder="1"/>
    <xf numFmtId="0" fontId="5" fillId="5" borderId="0" xfId="0" applyFont="1" applyFill="1"/>
    <xf numFmtId="0" fontId="5" fillId="0" borderId="0" xfId="0" applyFont="1" applyFill="1"/>
    <xf numFmtId="0" fontId="5" fillId="3" borderId="3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2" borderId="1" xfId="0" applyFont="1" applyFill="1" applyBorder="1"/>
    <xf numFmtId="0" fontId="5" fillId="4" borderId="1" xfId="0" applyFont="1" applyFill="1" applyBorder="1"/>
    <xf numFmtId="9" fontId="5" fillId="0" borderId="0" xfId="1" applyFont="1"/>
    <xf numFmtId="9" fontId="5" fillId="4" borderId="1" xfId="1" applyFont="1" applyFill="1" applyBorder="1"/>
    <xf numFmtId="9" fontId="5" fillId="4" borderId="0" xfId="1" applyFont="1" applyFill="1" applyBorder="1"/>
    <xf numFmtId="1" fontId="7" fillId="0" borderId="0" xfId="0" applyNumberFormat="1" applyFont="1"/>
    <xf numFmtId="0" fontId="7" fillId="0" borderId="0" xfId="0" applyFont="1"/>
    <xf numFmtId="0" fontId="8" fillId="0" borderId="1" xfId="0" applyFont="1" applyBorder="1"/>
    <xf numFmtId="1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3" borderId="2" xfId="0" applyFont="1" applyFill="1" applyBorder="1"/>
    <xf numFmtId="9" fontId="8" fillId="0" borderId="1" xfId="1" applyFont="1" applyBorder="1"/>
    <xf numFmtId="0" fontId="8" fillId="3" borderId="1" xfId="0" applyFont="1" applyFill="1" applyBorder="1"/>
    <xf numFmtId="0" fontId="8" fillId="0" borderId="0" xfId="0" applyFont="1" applyFill="1"/>
    <xf numFmtId="0" fontId="8" fillId="3" borderId="3" xfId="0" applyFont="1" applyFill="1" applyBorder="1"/>
    <xf numFmtId="0" fontId="9" fillId="0" borderId="1" xfId="0" applyFont="1" applyFill="1" applyBorder="1"/>
    <xf numFmtId="0" fontId="9" fillId="0" borderId="1" xfId="0" applyFont="1" applyBorder="1"/>
    <xf numFmtId="0" fontId="9" fillId="0" borderId="0" xfId="0" applyFont="1"/>
    <xf numFmtId="0" fontId="9" fillId="2" borderId="1" xfId="0" applyFont="1" applyFill="1" applyBorder="1"/>
    <xf numFmtId="0" fontId="8" fillId="4" borderId="1" xfId="0" applyFont="1" applyFill="1" applyBorder="1"/>
    <xf numFmtId="9" fontId="8" fillId="0" borderId="0" xfId="1" applyFont="1"/>
    <xf numFmtId="9" fontId="8" fillId="4" borderId="1" xfId="1" applyFont="1" applyFill="1" applyBorder="1"/>
    <xf numFmtId="9" fontId="8" fillId="4" borderId="0" xfId="1" applyFont="1" applyFill="1" applyBorder="1"/>
    <xf numFmtId="1" fontId="10" fillId="0" borderId="0" xfId="0" applyNumberFormat="1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Jul!$B$1:$AF$1</c:f>
              <c:numCache>
                <c:formatCode>d\-mmm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</c:numRef>
          </c:cat>
          <c:val>
            <c:numRef>
              <c:f>Jul!$B$22:$AF$22</c:f>
              <c:numCache>
                <c:formatCode>General</c:formatCode>
                <c:ptCount val="31"/>
                <c:pt idx="0">
                  <c:v>322.58064516129031</c:v>
                </c:pt>
                <c:pt idx="1">
                  <c:v>645.16129032258061</c:v>
                </c:pt>
                <c:pt idx="2">
                  <c:v>967.74193548387098</c:v>
                </c:pt>
                <c:pt idx="3">
                  <c:v>1290.3225806451612</c:v>
                </c:pt>
                <c:pt idx="4">
                  <c:v>1612.9032258064515</c:v>
                </c:pt>
                <c:pt idx="5">
                  <c:v>1935.483870967742</c:v>
                </c:pt>
                <c:pt idx="6">
                  <c:v>2258.0645161290322</c:v>
                </c:pt>
                <c:pt idx="7">
                  <c:v>2580.6451612903224</c:v>
                </c:pt>
                <c:pt idx="8">
                  <c:v>2903.2258064516127</c:v>
                </c:pt>
                <c:pt idx="9">
                  <c:v>3225.8064516129029</c:v>
                </c:pt>
                <c:pt idx="10">
                  <c:v>3548.3870967741932</c:v>
                </c:pt>
                <c:pt idx="11">
                  <c:v>3870.9677419354839</c:v>
                </c:pt>
                <c:pt idx="12">
                  <c:v>4193.5483870967737</c:v>
                </c:pt>
                <c:pt idx="13">
                  <c:v>4516.1290322580644</c:v>
                </c:pt>
                <c:pt idx="14">
                  <c:v>4838.7096774193542</c:v>
                </c:pt>
                <c:pt idx="15">
                  <c:v>5161.2903225806449</c:v>
                </c:pt>
                <c:pt idx="16">
                  <c:v>5483.8709677419356</c:v>
                </c:pt>
                <c:pt idx="17">
                  <c:v>5806.4516129032254</c:v>
                </c:pt>
                <c:pt idx="18">
                  <c:v>6129.0322580645161</c:v>
                </c:pt>
                <c:pt idx="19">
                  <c:v>6451.6129032258059</c:v>
                </c:pt>
                <c:pt idx="20">
                  <c:v>6774.1935483870966</c:v>
                </c:pt>
                <c:pt idx="21">
                  <c:v>7096.7741935483864</c:v>
                </c:pt>
                <c:pt idx="22">
                  <c:v>7419.3548387096771</c:v>
                </c:pt>
                <c:pt idx="23">
                  <c:v>7741.9354838709678</c:v>
                </c:pt>
                <c:pt idx="24">
                  <c:v>8064.5161290322576</c:v>
                </c:pt>
                <c:pt idx="25">
                  <c:v>8387.0967741935474</c:v>
                </c:pt>
                <c:pt idx="26">
                  <c:v>8709.677419354839</c:v>
                </c:pt>
                <c:pt idx="27">
                  <c:v>9032.2580645161288</c:v>
                </c:pt>
                <c:pt idx="28">
                  <c:v>9354.8387096774186</c:v>
                </c:pt>
                <c:pt idx="29">
                  <c:v>9677.4193548387084</c:v>
                </c:pt>
                <c:pt idx="3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4E30-BAFB-E4302326E88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Jul!$B$1:$AF$1</c:f>
              <c:numCache>
                <c:formatCode>d\-mmm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</c:numRef>
          </c:cat>
          <c:val>
            <c:numRef>
              <c:f>Jul!$B$23:$AF$23</c:f>
              <c:numCache>
                <c:formatCode>General</c:formatCode>
                <c:ptCount val="31"/>
                <c:pt idx="0">
                  <c:v>205</c:v>
                </c:pt>
                <c:pt idx="1">
                  <c:v>566</c:v>
                </c:pt>
                <c:pt idx="2">
                  <c:v>1028</c:v>
                </c:pt>
                <c:pt idx="3">
                  <c:v>2894</c:v>
                </c:pt>
                <c:pt idx="4">
                  <c:v>3629</c:v>
                </c:pt>
                <c:pt idx="5">
                  <c:v>3819</c:v>
                </c:pt>
                <c:pt idx="6">
                  <c:v>4319</c:v>
                </c:pt>
                <c:pt idx="7">
                  <c:v>4536</c:v>
                </c:pt>
                <c:pt idx="8">
                  <c:v>4950</c:v>
                </c:pt>
                <c:pt idx="9">
                  <c:v>5780</c:v>
                </c:pt>
                <c:pt idx="10">
                  <c:v>5970</c:v>
                </c:pt>
                <c:pt idx="11">
                  <c:v>6170</c:v>
                </c:pt>
                <c:pt idx="12">
                  <c:v>6170</c:v>
                </c:pt>
                <c:pt idx="13">
                  <c:v>6180</c:v>
                </c:pt>
                <c:pt idx="14">
                  <c:v>6215</c:v>
                </c:pt>
                <c:pt idx="15">
                  <c:v>6505</c:v>
                </c:pt>
                <c:pt idx="16">
                  <c:v>6515</c:v>
                </c:pt>
                <c:pt idx="17">
                  <c:v>7005</c:v>
                </c:pt>
                <c:pt idx="18">
                  <c:v>7277</c:v>
                </c:pt>
                <c:pt idx="19">
                  <c:v>8632</c:v>
                </c:pt>
                <c:pt idx="20">
                  <c:v>8632</c:v>
                </c:pt>
                <c:pt idx="21">
                  <c:v>8632</c:v>
                </c:pt>
                <c:pt idx="22">
                  <c:v>8967</c:v>
                </c:pt>
                <c:pt idx="23">
                  <c:v>10067</c:v>
                </c:pt>
                <c:pt idx="24">
                  <c:v>10067</c:v>
                </c:pt>
                <c:pt idx="25">
                  <c:v>10463</c:v>
                </c:pt>
                <c:pt idx="26">
                  <c:v>10463</c:v>
                </c:pt>
                <c:pt idx="27">
                  <c:v>12131</c:v>
                </c:pt>
                <c:pt idx="28">
                  <c:v>12561</c:v>
                </c:pt>
                <c:pt idx="29">
                  <c:v>12581</c:v>
                </c:pt>
                <c:pt idx="30">
                  <c:v>12581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3-4E30-BAFB-E4302326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Aug!$B$1:$AF$1</c:f>
              <c:numCache>
                <c:formatCode>d\-mmm</c:formatCode>
                <c:ptCount val="31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</c:numCache>
            </c:numRef>
          </c:cat>
          <c:val>
            <c:numRef>
              <c:f>Aug!$B$22:$AF$22</c:f>
              <c:numCache>
                <c:formatCode>General</c:formatCode>
                <c:ptCount val="31"/>
                <c:pt idx="0">
                  <c:v>524.19354838709683</c:v>
                </c:pt>
                <c:pt idx="1">
                  <c:v>1048.3870967741937</c:v>
                </c:pt>
                <c:pt idx="2">
                  <c:v>1572.5806451612905</c:v>
                </c:pt>
                <c:pt idx="3">
                  <c:v>2096.7741935483873</c:v>
                </c:pt>
                <c:pt idx="4">
                  <c:v>2620.9677419354839</c:v>
                </c:pt>
                <c:pt idx="5">
                  <c:v>3145.161290322581</c:v>
                </c:pt>
                <c:pt idx="6">
                  <c:v>3669.354838709678</c:v>
                </c:pt>
                <c:pt idx="7">
                  <c:v>4193.5483870967746</c:v>
                </c:pt>
                <c:pt idx="8">
                  <c:v>4717.7419354838712</c:v>
                </c:pt>
                <c:pt idx="9">
                  <c:v>5241.9354838709678</c:v>
                </c:pt>
                <c:pt idx="10">
                  <c:v>5766.1290322580653</c:v>
                </c:pt>
                <c:pt idx="11">
                  <c:v>6290.3225806451619</c:v>
                </c:pt>
                <c:pt idx="12">
                  <c:v>6814.5161290322585</c:v>
                </c:pt>
                <c:pt idx="13">
                  <c:v>7338.709677419356</c:v>
                </c:pt>
                <c:pt idx="14">
                  <c:v>7862.9032258064526</c:v>
                </c:pt>
                <c:pt idx="15">
                  <c:v>8387.0967741935492</c:v>
                </c:pt>
                <c:pt idx="16">
                  <c:v>8911.2903225806458</c:v>
                </c:pt>
                <c:pt idx="17">
                  <c:v>9435.4838709677424</c:v>
                </c:pt>
                <c:pt idx="18">
                  <c:v>9959.677419354839</c:v>
                </c:pt>
                <c:pt idx="19">
                  <c:v>10483.870967741936</c:v>
                </c:pt>
                <c:pt idx="20">
                  <c:v>11008.064516129034</c:v>
                </c:pt>
                <c:pt idx="21">
                  <c:v>11532.258064516131</c:v>
                </c:pt>
                <c:pt idx="22">
                  <c:v>12056.451612903227</c:v>
                </c:pt>
                <c:pt idx="23">
                  <c:v>12580.645161290324</c:v>
                </c:pt>
                <c:pt idx="24">
                  <c:v>13104.83870967742</c:v>
                </c:pt>
                <c:pt idx="25">
                  <c:v>13629.032258064517</c:v>
                </c:pt>
                <c:pt idx="26">
                  <c:v>14153.225806451614</c:v>
                </c:pt>
                <c:pt idx="27">
                  <c:v>14677.419354838712</c:v>
                </c:pt>
                <c:pt idx="28">
                  <c:v>15201.612903225809</c:v>
                </c:pt>
                <c:pt idx="29">
                  <c:v>15725.806451612905</c:v>
                </c:pt>
                <c:pt idx="30">
                  <c:v>16250.000000000002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C-424B-93A7-B2CC652FB74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Aug!$B$1:$AF$1</c:f>
              <c:numCache>
                <c:formatCode>d\-mmm</c:formatCode>
                <c:ptCount val="31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</c:numCache>
            </c:numRef>
          </c:cat>
          <c:val>
            <c:numRef>
              <c:f>Aug!$B$23:$AF$23</c:f>
              <c:numCache>
                <c:formatCode>General</c:formatCode>
                <c:ptCount val="31"/>
                <c:pt idx="0">
                  <c:v>0</c:v>
                </c:pt>
                <c:pt idx="1">
                  <c:v>1140</c:v>
                </c:pt>
                <c:pt idx="2">
                  <c:v>1140</c:v>
                </c:pt>
                <c:pt idx="3">
                  <c:v>1190</c:v>
                </c:pt>
                <c:pt idx="4">
                  <c:v>1320</c:v>
                </c:pt>
                <c:pt idx="5">
                  <c:v>4094</c:v>
                </c:pt>
                <c:pt idx="6">
                  <c:v>3734</c:v>
                </c:pt>
                <c:pt idx="7">
                  <c:v>3734</c:v>
                </c:pt>
                <c:pt idx="8">
                  <c:v>4184</c:v>
                </c:pt>
                <c:pt idx="9">
                  <c:v>4184</c:v>
                </c:pt>
                <c:pt idx="10">
                  <c:v>4473</c:v>
                </c:pt>
                <c:pt idx="11">
                  <c:v>5152</c:v>
                </c:pt>
                <c:pt idx="12">
                  <c:v>6202</c:v>
                </c:pt>
                <c:pt idx="13">
                  <c:v>10454</c:v>
                </c:pt>
                <c:pt idx="14">
                  <c:v>11257</c:v>
                </c:pt>
                <c:pt idx="15">
                  <c:v>11257</c:v>
                </c:pt>
                <c:pt idx="16">
                  <c:v>11557</c:v>
                </c:pt>
                <c:pt idx="17">
                  <c:v>11557</c:v>
                </c:pt>
                <c:pt idx="18">
                  <c:v>11557</c:v>
                </c:pt>
                <c:pt idx="19">
                  <c:v>11792</c:v>
                </c:pt>
                <c:pt idx="20">
                  <c:v>12092</c:v>
                </c:pt>
                <c:pt idx="21">
                  <c:v>13412</c:v>
                </c:pt>
                <c:pt idx="22">
                  <c:v>13862</c:v>
                </c:pt>
                <c:pt idx="23">
                  <c:v>13862</c:v>
                </c:pt>
                <c:pt idx="24">
                  <c:v>15134</c:v>
                </c:pt>
                <c:pt idx="25">
                  <c:v>16134</c:v>
                </c:pt>
                <c:pt idx="26">
                  <c:v>16134</c:v>
                </c:pt>
                <c:pt idx="27">
                  <c:v>16624</c:v>
                </c:pt>
                <c:pt idx="28">
                  <c:v>16811</c:v>
                </c:pt>
                <c:pt idx="29">
                  <c:v>16811</c:v>
                </c:pt>
                <c:pt idx="30">
                  <c:v>16811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C-424B-93A7-B2CC652F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Sep!$B$1:$AE$1</c:f>
              <c:numCache>
                <c:formatCode>d\-mmm</c:formatCode>
                <c:ptCount val="30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</c:numCache>
            </c:numRef>
          </c:cat>
          <c:val>
            <c:numRef>
              <c:f>Sep!$B$22:$AE$22</c:f>
              <c:numCache>
                <c:formatCode>0</c:formatCode>
                <c:ptCount val="30"/>
                <c:pt idx="0">
                  <c:v>316.66666666666669</c:v>
                </c:pt>
                <c:pt idx="1">
                  <c:v>633.33333333333337</c:v>
                </c:pt>
                <c:pt idx="2">
                  <c:v>950</c:v>
                </c:pt>
                <c:pt idx="3">
                  <c:v>1266.6666666666667</c:v>
                </c:pt>
                <c:pt idx="4">
                  <c:v>1583.3333333333335</c:v>
                </c:pt>
                <c:pt idx="5">
                  <c:v>1900</c:v>
                </c:pt>
                <c:pt idx="6">
                  <c:v>2216.666666666667</c:v>
                </c:pt>
                <c:pt idx="7">
                  <c:v>2533.3333333333335</c:v>
                </c:pt>
                <c:pt idx="8">
                  <c:v>2850</c:v>
                </c:pt>
                <c:pt idx="9">
                  <c:v>3166.666666666667</c:v>
                </c:pt>
                <c:pt idx="10">
                  <c:v>3483.3333333333335</c:v>
                </c:pt>
                <c:pt idx="11">
                  <c:v>3800</c:v>
                </c:pt>
                <c:pt idx="12">
                  <c:v>4116.666666666667</c:v>
                </c:pt>
                <c:pt idx="13">
                  <c:v>4433.3333333333339</c:v>
                </c:pt>
                <c:pt idx="14">
                  <c:v>4750</c:v>
                </c:pt>
                <c:pt idx="15">
                  <c:v>5066.666666666667</c:v>
                </c:pt>
                <c:pt idx="16">
                  <c:v>5383.3333333333339</c:v>
                </c:pt>
                <c:pt idx="17">
                  <c:v>5700</c:v>
                </c:pt>
                <c:pt idx="18">
                  <c:v>6016.666666666667</c:v>
                </c:pt>
                <c:pt idx="19">
                  <c:v>6333.3333333333339</c:v>
                </c:pt>
                <c:pt idx="20">
                  <c:v>6650</c:v>
                </c:pt>
                <c:pt idx="21">
                  <c:v>6966.666666666667</c:v>
                </c:pt>
                <c:pt idx="22">
                  <c:v>7283.3333333333339</c:v>
                </c:pt>
                <c:pt idx="23">
                  <c:v>7600</c:v>
                </c:pt>
                <c:pt idx="24">
                  <c:v>7916.666666666667</c:v>
                </c:pt>
                <c:pt idx="25">
                  <c:v>8233.3333333333339</c:v>
                </c:pt>
                <c:pt idx="26">
                  <c:v>8550</c:v>
                </c:pt>
                <c:pt idx="27">
                  <c:v>8866.6666666666679</c:v>
                </c:pt>
                <c:pt idx="28">
                  <c:v>9183.3333333333339</c:v>
                </c:pt>
                <c:pt idx="29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0-4254-8F0E-FD9C0E3204C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Sep!$B$1:$AE$1</c:f>
              <c:numCache>
                <c:formatCode>d\-mmm</c:formatCode>
                <c:ptCount val="30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</c:numCache>
            </c:numRef>
          </c:cat>
          <c:val>
            <c:numRef>
              <c:f>Sep!$B$23:$AE$23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387</c:v>
                </c:pt>
                <c:pt idx="3">
                  <c:v>492</c:v>
                </c:pt>
                <c:pt idx="4">
                  <c:v>1022</c:v>
                </c:pt>
                <c:pt idx="5">
                  <c:v>1722</c:v>
                </c:pt>
                <c:pt idx="6">
                  <c:v>2433</c:v>
                </c:pt>
                <c:pt idx="7">
                  <c:v>4636</c:v>
                </c:pt>
                <c:pt idx="8">
                  <c:v>4497</c:v>
                </c:pt>
                <c:pt idx="9">
                  <c:v>5122</c:v>
                </c:pt>
                <c:pt idx="10">
                  <c:v>5502</c:v>
                </c:pt>
                <c:pt idx="11">
                  <c:v>6002</c:v>
                </c:pt>
                <c:pt idx="12">
                  <c:v>9581</c:v>
                </c:pt>
                <c:pt idx="13">
                  <c:v>9793</c:v>
                </c:pt>
                <c:pt idx="14">
                  <c:v>11553</c:v>
                </c:pt>
                <c:pt idx="15">
                  <c:v>12260</c:v>
                </c:pt>
                <c:pt idx="16">
                  <c:v>15787</c:v>
                </c:pt>
                <c:pt idx="17">
                  <c:v>16577</c:v>
                </c:pt>
                <c:pt idx="18">
                  <c:v>16577</c:v>
                </c:pt>
                <c:pt idx="19">
                  <c:v>16577</c:v>
                </c:pt>
                <c:pt idx="20">
                  <c:v>16577</c:v>
                </c:pt>
                <c:pt idx="21">
                  <c:v>16577</c:v>
                </c:pt>
                <c:pt idx="22">
                  <c:v>17277</c:v>
                </c:pt>
                <c:pt idx="23">
                  <c:v>17277</c:v>
                </c:pt>
                <c:pt idx="24">
                  <c:v>17842</c:v>
                </c:pt>
                <c:pt idx="25">
                  <c:v>18425</c:v>
                </c:pt>
                <c:pt idx="26">
                  <c:v>18425</c:v>
                </c:pt>
                <c:pt idx="27">
                  <c:v>19533</c:v>
                </c:pt>
                <c:pt idx="28">
                  <c:v>21313</c:v>
                </c:pt>
                <c:pt idx="29">
                  <c:v>22477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0-4254-8F0E-FD9C0E32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Oct!$B$1:$AF$1</c:f>
              <c:numCache>
                <c:formatCode>d\-mmm</c:formatCode>
                <c:ptCount val="3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</c:numCache>
            </c:numRef>
          </c:cat>
          <c:val>
            <c:numRef>
              <c:f>Oct!$B$22:$AF$22</c:f>
              <c:numCache>
                <c:formatCode>0</c:formatCode>
                <c:ptCount val="31"/>
                <c:pt idx="0">
                  <c:v>516.12903225806451</c:v>
                </c:pt>
                <c:pt idx="1">
                  <c:v>1032.258064516129</c:v>
                </c:pt>
                <c:pt idx="2">
                  <c:v>1548.3870967741937</c:v>
                </c:pt>
                <c:pt idx="3">
                  <c:v>2064.516129032258</c:v>
                </c:pt>
                <c:pt idx="4">
                  <c:v>2580.6451612903224</c:v>
                </c:pt>
                <c:pt idx="5">
                  <c:v>3096.7741935483873</c:v>
                </c:pt>
                <c:pt idx="6">
                  <c:v>3612.9032258064517</c:v>
                </c:pt>
                <c:pt idx="7">
                  <c:v>4129.0322580645161</c:v>
                </c:pt>
                <c:pt idx="8">
                  <c:v>4645.1612903225805</c:v>
                </c:pt>
                <c:pt idx="9">
                  <c:v>5161.2903225806449</c:v>
                </c:pt>
                <c:pt idx="10">
                  <c:v>5677.4193548387093</c:v>
                </c:pt>
                <c:pt idx="11">
                  <c:v>6193.5483870967746</c:v>
                </c:pt>
                <c:pt idx="12">
                  <c:v>6709.677419354839</c:v>
                </c:pt>
                <c:pt idx="13">
                  <c:v>7225.8064516129034</c:v>
                </c:pt>
                <c:pt idx="14">
                  <c:v>7741.9354838709678</c:v>
                </c:pt>
                <c:pt idx="15">
                  <c:v>8258.0645161290322</c:v>
                </c:pt>
                <c:pt idx="16">
                  <c:v>8774.1935483870966</c:v>
                </c:pt>
                <c:pt idx="17">
                  <c:v>9290.322580645161</c:v>
                </c:pt>
                <c:pt idx="18">
                  <c:v>9806.4516129032254</c:v>
                </c:pt>
                <c:pt idx="19">
                  <c:v>10322.58064516129</c:v>
                </c:pt>
                <c:pt idx="20">
                  <c:v>10838.709677419354</c:v>
                </c:pt>
                <c:pt idx="21">
                  <c:v>11354.838709677419</c:v>
                </c:pt>
                <c:pt idx="22">
                  <c:v>11870.967741935483</c:v>
                </c:pt>
                <c:pt idx="23">
                  <c:v>12387.096774193549</c:v>
                </c:pt>
                <c:pt idx="24">
                  <c:v>12903.225806451614</c:v>
                </c:pt>
                <c:pt idx="25">
                  <c:v>13419.354838709678</c:v>
                </c:pt>
                <c:pt idx="26">
                  <c:v>13935.483870967742</c:v>
                </c:pt>
                <c:pt idx="27">
                  <c:v>14451.612903225807</c:v>
                </c:pt>
                <c:pt idx="28">
                  <c:v>14967.741935483871</c:v>
                </c:pt>
                <c:pt idx="29">
                  <c:v>15483.870967741936</c:v>
                </c:pt>
                <c:pt idx="30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E-44F2-A128-1A0CB12ABAFB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Oct!$B$1:$AF$1</c:f>
              <c:numCache>
                <c:formatCode>d\-mmm</c:formatCode>
                <c:ptCount val="3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</c:numCache>
            </c:numRef>
          </c:cat>
          <c:val>
            <c:numRef>
              <c:f>Oct!$B$23:$AF$23</c:f>
              <c:numCache>
                <c:formatCode>General</c:formatCode>
                <c:ptCount val="31"/>
                <c:pt idx="0">
                  <c:v>400</c:v>
                </c:pt>
                <c:pt idx="1">
                  <c:v>480</c:v>
                </c:pt>
                <c:pt idx="2">
                  <c:v>345</c:v>
                </c:pt>
                <c:pt idx="3">
                  <c:v>-955</c:v>
                </c:pt>
                <c:pt idx="4">
                  <c:v>-900</c:v>
                </c:pt>
                <c:pt idx="5">
                  <c:v>1989</c:v>
                </c:pt>
                <c:pt idx="6">
                  <c:v>2144</c:v>
                </c:pt>
                <c:pt idx="7">
                  <c:v>3224</c:v>
                </c:pt>
                <c:pt idx="8">
                  <c:v>3959</c:v>
                </c:pt>
                <c:pt idx="9">
                  <c:v>5052</c:v>
                </c:pt>
                <c:pt idx="10">
                  <c:v>6107</c:v>
                </c:pt>
                <c:pt idx="11">
                  <c:v>6667</c:v>
                </c:pt>
                <c:pt idx="12">
                  <c:v>7132</c:v>
                </c:pt>
                <c:pt idx="13">
                  <c:v>9167</c:v>
                </c:pt>
                <c:pt idx="14">
                  <c:v>9527</c:v>
                </c:pt>
                <c:pt idx="15">
                  <c:v>9789</c:v>
                </c:pt>
                <c:pt idx="16">
                  <c:v>10172</c:v>
                </c:pt>
                <c:pt idx="17">
                  <c:v>10627</c:v>
                </c:pt>
                <c:pt idx="18">
                  <c:v>10857</c:v>
                </c:pt>
                <c:pt idx="19">
                  <c:v>11037</c:v>
                </c:pt>
                <c:pt idx="20">
                  <c:v>12157</c:v>
                </c:pt>
                <c:pt idx="21">
                  <c:v>12687</c:v>
                </c:pt>
                <c:pt idx="22">
                  <c:v>13034</c:v>
                </c:pt>
                <c:pt idx="23">
                  <c:v>13209</c:v>
                </c:pt>
                <c:pt idx="24">
                  <c:v>13869</c:v>
                </c:pt>
                <c:pt idx="25">
                  <c:v>13580</c:v>
                </c:pt>
                <c:pt idx="26">
                  <c:v>14559</c:v>
                </c:pt>
                <c:pt idx="27">
                  <c:v>15915</c:v>
                </c:pt>
                <c:pt idx="28">
                  <c:v>16105</c:v>
                </c:pt>
                <c:pt idx="29">
                  <c:v>16496</c:v>
                </c:pt>
                <c:pt idx="30">
                  <c:v>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E-44F2-A128-1A0CB12A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Nov!$B$1:$AE$1</c:f>
              <c:numCache>
                <c:formatCode>d\-mmm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Nov!$B$22:$AE$22</c:f>
              <c:numCache>
                <c:formatCode>0</c:formatCode>
                <c:ptCount val="30"/>
                <c:pt idx="0">
                  <c:v>573.33333333333337</c:v>
                </c:pt>
                <c:pt idx="1">
                  <c:v>1146.6666666666667</c:v>
                </c:pt>
                <c:pt idx="2">
                  <c:v>1720</c:v>
                </c:pt>
                <c:pt idx="3">
                  <c:v>2293.3333333333335</c:v>
                </c:pt>
                <c:pt idx="4">
                  <c:v>2866.666666666667</c:v>
                </c:pt>
                <c:pt idx="5">
                  <c:v>3440</c:v>
                </c:pt>
                <c:pt idx="6">
                  <c:v>4013.3333333333335</c:v>
                </c:pt>
                <c:pt idx="7">
                  <c:v>4586.666666666667</c:v>
                </c:pt>
                <c:pt idx="8">
                  <c:v>5160</c:v>
                </c:pt>
                <c:pt idx="9">
                  <c:v>5733.3333333333339</c:v>
                </c:pt>
                <c:pt idx="10">
                  <c:v>6306.666666666667</c:v>
                </c:pt>
                <c:pt idx="11">
                  <c:v>6880</c:v>
                </c:pt>
                <c:pt idx="12">
                  <c:v>7453.3333333333339</c:v>
                </c:pt>
                <c:pt idx="13">
                  <c:v>8026.666666666667</c:v>
                </c:pt>
                <c:pt idx="14">
                  <c:v>8600</c:v>
                </c:pt>
                <c:pt idx="15">
                  <c:v>9173.3333333333339</c:v>
                </c:pt>
                <c:pt idx="16">
                  <c:v>9746.6666666666679</c:v>
                </c:pt>
                <c:pt idx="17">
                  <c:v>10320</c:v>
                </c:pt>
                <c:pt idx="18">
                  <c:v>10893.333333333334</c:v>
                </c:pt>
                <c:pt idx="19">
                  <c:v>11466.666666666668</c:v>
                </c:pt>
                <c:pt idx="20">
                  <c:v>12040</c:v>
                </c:pt>
                <c:pt idx="21">
                  <c:v>12613.333333333334</c:v>
                </c:pt>
                <c:pt idx="22">
                  <c:v>13186.666666666668</c:v>
                </c:pt>
                <c:pt idx="23">
                  <c:v>13760</c:v>
                </c:pt>
                <c:pt idx="24">
                  <c:v>14333.333333333334</c:v>
                </c:pt>
                <c:pt idx="25">
                  <c:v>14906.666666666668</c:v>
                </c:pt>
                <c:pt idx="26">
                  <c:v>15480.000000000002</c:v>
                </c:pt>
                <c:pt idx="27">
                  <c:v>16053.333333333334</c:v>
                </c:pt>
                <c:pt idx="28">
                  <c:v>16626.666666666668</c:v>
                </c:pt>
                <c:pt idx="29">
                  <c:v>17200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E-40E9-B565-7F3F03F0FAA3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Nov!$B$1:$AE$1</c:f>
              <c:numCache>
                <c:formatCode>d\-mmm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Nov!$B$23:$AE$23</c:f>
              <c:numCache>
                <c:formatCode>General</c:formatCode>
                <c:ptCount val="30"/>
                <c:pt idx="0">
                  <c:v>162</c:v>
                </c:pt>
                <c:pt idx="1">
                  <c:v>927</c:v>
                </c:pt>
                <c:pt idx="2">
                  <c:v>2345</c:v>
                </c:pt>
                <c:pt idx="3">
                  <c:v>2460</c:v>
                </c:pt>
                <c:pt idx="4">
                  <c:v>2473</c:v>
                </c:pt>
                <c:pt idx="5">
                  <c:v>3311</c:v>
                </c:pt>
                <c:pt idx="6">
                  <c:v>3806</c:v>
                </c:pt>
                <c:pt idx="7">
                  <c:v>3926</c:v>
                </c:pt>
                <c:pt idx="8">
                  <c:v>4229</c:v>
                </c:pt>
                <c:pt idx="9">
                  <c:v>4528</c:v>
                </c:pt>
                <c:pt idx="10">
                  <c:v>5480</c:v>
                </c:pt>
                <c:pt idx="11">
                  <c:v>6480</c:v>
                </c:pt>
                <c:pt idx="12">
                  <c:v>6559</c:v>
                </c:pt>
                <c:pt idx="13">
                  <c:v>7628</c:v>
                </c:pt>
                <c:pt idx="14">
                  <c:v>9383</c:v>
                </c:pt>
                <c:pt idx="15">
                  <c:v>10311</c:v>
                </c:pt>
                <c:pt idx="16">
                  <c:v>10371</c:v>
                </c:pt>
                <c:pt idx="17">
                  <c:v>12471</c:v>
                </c:pt>
                <c:pt idx="18">
                  <c:v>13681</c:v>
                </c:pt>
                <c:pt idx="19">
                  <c:v>13760</c:v>
                </c:pt>
                <c:pt idx="20">
                  <c:v>13839</c:v>
                </c:pt>
                <c:pt idx="21">
                  <c:v>13898</c:v>
                </c:pt>
                <c:pt idx="22">
                  <c:v>14765</c:v>
                </c:pt>
                <c:pt idx="23">
                  <c:v>15635</c:v>
                </c:pt>
                <c:pt idx="24">
                  <c:v>15754</c:v>
                </c:pt>
                <c:pt idx="25">
                  <c:v>16254</c:v>
                </c:pt>
                <c:pt idx="26">
                  <c:v>16254</c:v>
                </c:pt>
                <c:pt idx="27">
                  <c:v>16478</c:v>
                </c:pt>
                <c:pt idx="28">
                  <c:v>17724</c:v>
                </c:pt>
                <c:pt idx="29">
                  <c:v>17925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E-40E9-B565-7F3F03F0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Dec!$B$1:$AF$1</c:f>
              <c:numCache>
                <c:formatCode>d\-mmm</c:formatCode>
                <c:ptCount val="3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</c:numCache>
            </c:numRef>
          </c:cat>
          <c:val>
            <c:numRef>
              <c:f>Dec!$B$22:$AF$22</c:f>
              <c:numCache>
                <c:formatCode>0</c:formatCode>
                <c:ptCount val="31"/>
                <c:pt idx="0">
                  <c:v>612.90322580645159</c:v>
                </c:pt>
                <c:pt idx="1">
                  <c:v>1225.8064516129032</c:v>
                </c:pt>
                <c:pt idx="2">
                  <c:v>1838.7096774193546</c:v>
                </c:pt>
                <c:pt idx="3">
                  <c:v>2451.6129032258063</c:v>
                </c:pt>
                <c:pt idx="4">
                  <c:v>3064.516129032258</c:v>
                </c:pt>
                <c:pt idx="5">
                  <c:v>3677.4193548387093</c:v>
                </c:pt>
                <c:pt idx="6">
                  <c:v>4290.322580645161</c:v>
                </c:pt>
                <c:pt idx="7">
                  <c:v>4903.2258064516127</c:v>
                </c:pt>
                <c:pt idx="8">
                  <c:v>5516.1290322580644</c:v>
                </c:pt>
                <c:pt idx="9">
                  <c:v>6129.0322580645161</c:v>
                </c:pt>
                <c:pt idx="10">
                  <c:v>6741.9354838709678</c:v>
                </c:pt>
                <c:pt idx="11">
                  <c:v>7354.8387096774186</c:v>
                </c:pt>
                <c:pt idx="12">
                  <c:v>7967.7419354838703</c:v>
                </c:pt>
                <c:pt idx="13">
                  <c:v>8580.645161290322</c:v>
                </c:pt>
                <c:pt idx="14">
                  <c:v>9193.5483870967746</c:v>
                </c:pt>
                <c:pt idx="15">
                  <c:v>9806.4516129032254</c:v>
                </c:pt>
                <c:pt idx="16">
                  <c:v>10419.354838709676</c:v>
                </c:pt>
                <c:pt idx="17">
                  <c:v>11032.258064516129</c:v>
                </c:pt>
                <c:pt idx="18">
                  <c:v>11645.16129032258</c:v>
                </c:pt>
                <c:pt idx="19">
                  <c:v>12258.064516129032</c:v>
                </c:pt>
                <c:pt idx="20">
                  <c:v>12870.967741935483</c:v>
                </c:pt>
                <c:pt idx="21">
                  <c:v>13483.870967741936</c:v>
                </c:pt>
                <c:pt idx="22">
                  <c:v>14096.774193548386</c:v>
                </c:pt>
                <c:pt idx="23">
                  <c:v>14709.677419354837</c:v>
                </c:pt>
                <c:pt idx="24">
                  <c:v>15322.58064516129</c:v>
                </c:pt>
                <c:pt idx="25">
                  <c:v>15935.483870967741</c:v>
                </c:pt>
                <c:pt idx="26">
                  <c:v>16548.387096774193</c:v>
                </c:pt>
                <c:pt idx="27">
                  <c:v>17161.290322580644</c:v>
                </c:pt>
                <c:pt idx="28">
                  <c:v>17774.193548387095</c:v>
                </c:pt>
                <c:pt idx="29">
                  <c:v>18387.096774193549</c:v>
                </c:pt>
                <c:pt idx="30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0-4DDA-ADF5-FCCC98A7C2F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Dec!$B$1:$AF$1</c:f>
              <c:numCache>
                <c:formatCode>d\-mmm</c:formatCode>
                <c:ptCount val="3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</c:numCache>
            </c:numRef>
          </c:cat>
          <c:val>
            <c:numRef>
              <c:f>Dec!$B$23:$AF$23</c:f>
              <c:numCache>
                <c:formatCode>General</c:formatCode>
                <c:ptCount val="31"/>
                <c:pt idx="0">
                  <c:v>829</c:v>
                </c:pt>
                <c:pt idx="1">
                  <c:v>2795</c:v>
                </c:pt>
                <c:pt idx="2">
                  <c:v>3580</c:v>
                </c:pt>
                <c:pt idx="3">
                  <c:v>5303</c:v>
                </c:pt>
                <c:pt idx="4">
                  <c:v>5438</c:v>
                </c:pt>
                <c:pt idx="5">
                  <c:v>6296</c:v>
                </c:pt>
                <c:pt idx="6">
                  <c:v>6525</c:v>
                </c:pt>
                <c:pt idx="7">
                  <c:v>13066</c:v>
                </c:pt>
                <c:pt idx="8">
                  <c:v>21181</c:v>
                </c:pt>
                <c:pt idx="9">
                  <c:v>21566</c:v>
                </c:pt>
                <c:pt idx="10">
                  <c:v>23772</c:v>
                </c:pt>
                <c:pt idx="11">
                  <c:v>23772</c:v>
                </c:pt>
                <c:pt idx="12">
                  <c:v>23893</c:v>
                </c:pt>
                <c:pt idx="13">
                  <c:v>24283</c:v>
                </c:pt>
                <c:pt idx="14">
                  <c:v>32005</c:v>
                </c:pt>
                <c:pt idx="15">
                  <c:v>32005</c:v>
                </c:pt>
                <c:pt idx="16">
                  <c:v>32005</c:v>
                </c:pt>
                <c:pt idx="17">
                  <c:v>32005</c:v>
                </c:pt>
                <c:pt idx="18">
                  <c:v>32005</c:v>
                </c:pt>
                <c:pt idx="19">
                  <c:v>32005</c:v>
                </c:pt>
                <c:pt idx="20">
                  <c:v>32005</c:v>
                </c:pt>
                <c:pt idx="21">
                  <c:v>32005</c:v>
                </c:pt>
                <c:pt idx="22">
                  <c:v>32005</c:v>
                </c:pt>
                <c:pt idx="23">
                  <c:v>32005</c:v>
                </c:pt>
                <c:pt idx="24">
                  <c:v>32005</c:v>
                </c:pt>
                <c:pt idx="25">
                  <c:v>32005</c:v>
                </c:pt>
                <c:pt idx="26">
                  <c:v>32005</c:v>
                </c:pt>
                <c:pt idx="27">
                  <c:v>32005</c:v>
                </c:pt>
                <c:pt idx="28">
                  <c:v>32005</c:v>
                </c:pt>
                <c:pt idx="29">
                  <c:v>32005</c:v>
                </c:pt>
                <c:pt idx="30">
                  <c:v>32005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0-4DDA-ADF5-FCCC98A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84592"/>
        <c:axId val="403984920"/>
      </c:lineChart>
      <c:dateAx>
        <c:axId val="40398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920"/>
        <c:crosses val="autoZero"/>
        <c:auto val="1"/>
        <c:lblOffset val="100"/>
        <c:baseTimeUnit val="days"/>
      </c:dateAx>
      <c:valAx>
        <c:axId val="4039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78798</xdr:colOff>
      <xdr:row>24</xdr:row>
      <xdr:rowOff>66675</xdr:rowOff>
    </xdr:from>
    <xdr:to>
      <xdr:col>25</xdr:col>
      <xdr:colOff>554182</xdr:colOff>
      <xdr:row>40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22FCD-E2D5-4DF1-BFB7-73C2DAB7B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78798</xdr:colOff>
      <xdr:row>24</xdr:row>
      <xdr:rowOff>66675</xdr:rowOff>
    </xdr:from>
    <xdr:to>
      <xdr:col>25</xdr:col>
      <xdr:colOff>554182</xdr:colOff>
      <xdr:row>40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7912E-3DA9-4987-B8C7-AD4662DD5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865910</xdr:colOff>
      <xdr:row>25</xdr:row>
      <xdr:rowOff>103533</xdr:rowOff>
    </xdr:from>
    <xdr:to>
      <xdr:col>31</xdr:col>
      <xdr:colOff>155865</xdr:colOff>
      <xdr:row>40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6921F-65A4-4582-A23E-0C4EA1AE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865910</xdr:colOff>
      <xdr:row>25</xdr:row>
      <xdr:rowOff>103533</xdr:rowOff>
    </xdr:from>
    <xdr:to>
      <xdr:col>32</xdr:col>
      <xdr:colOff>155865</xdr:colOff>
      <xdr:row>40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9C30B-5744-4253-BB4F-8151723F4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865910</xdr:colOff>
      <xdr:row>25</xdr:row>
      <xdr:rowOff>103533</xdr:rowOff>
    </xdr:from>
    <xdr:to>
      <xdr:col>31</xdr:col>
      <xdr:colOff>155865</xdr:colOff>
      <xdr:row>40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A32AF-88D1-4B5C-AB6E-ADF903551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865910</xdr:colOff>
      <xdr:row>25</xdr:row>
      <xdr:rowOff>103533</xdr:rowOff>
    </xdr:from>
    <xdr:to>
      <xdr:col>32</xdr:col>
      <xdr:colOff>155865</xdr:colOff>
      <xdr:row>40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671D6-3A12-4E35-AE20-A76593C3C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"/>
  <sheetViews>
    <sheetView tabSelected="1" workbookViewId="0">
      <pane xSplit="1" topLeftCell="W1" activePane="topRight" state="frozen"/>
      <selection pane="topRight" activeCell="AH1" sqref="AH1"/>
    </sheetView>
  </sheetViews>
  <sheetFormatPr defaultRowHeight="15" x14ac:dyDescent="0.25"/>
  <cols>
    <col min="1" max="1" width="20" bestFit="1" customWidth="1"/>
    <col min="3" max="32" width="9.85546875" customWidth="1"/>
    <col min="33" max="33" width="13.85546875" bestFit="1" customWidth="1"/>
    <col min="34" max="34" width="13.28515625" bestFit="1" customWidth="1"/>
    <col min="35" max="35" width="12.140625" bestFit="1" customWidth="1"/>
  </cols>
  <sheetData>
    <row r="1" spans="1:35" x14ac:dyDescent="0.25">
      <c r="A1" s="4"/>
      <c r="B1" s="5">
        <v>42736</v>
      </c>
      <c r="C1" s="5">
        <f>B1+1</f>
        <v>42737</v>
      </c>
      <c r="D1" s="5">
        <f>C1+1</f>
        <v>42738</v>
      </c>
      <c r="E1" s="5">
        <f t="shared" ref="E1:AF1" si="0">D1+1</f>
        <v>42739</v>
      </c>
      <c r="F1" s="5">
        <f t="shared" si="0"/>
        <v>42740</v>
      </c>
      <c r="G1" s="5">
        <f t="shared" si="0"/>
        <v>42741</v>
      </c>
      <c r="H1" s="5">
        <f t="shared" si="0"/>
        <v>42742</v>
      </c>
      <c r="I1" s="5">
        <f t="shared" si="0"/>
        <v>42743</v>
      </c>
      <c r="J1" s="5">
        <f t="shared" si="0"/>
        <v>42744</v>
      </c>
      <c r="K1" s="5">
        <f t="shared" si="0"/>
        <v>42745</v>
      </c>
      <c r="L1" s="5">
        <f t="shared" si="0"/>
        <v>42746</v>
      </c>
      <c r="M1" s="5">
        <f t="shared" si="0"/>
        <v>42747</v>
      </c>
      <c r="N1" s="5">
        <f t="shared" si="0"/>
        <v>42748</v>
      </c>
      <c r="O1" s="5">
        <f t="shared" si="0"/>
        <v>42749</v>
      </c>
      <c r="P1" s="5">
        <f t="shared" si="0"/>
        <v>42750</v>
      </c>
      <c r="Q1" s="5">
        <f t="shared" si="0"/>
        <v>42751</v>
      </c>
      <c r="R1" s="5">
        <f t="shared" si="0"/>
        <v>42752</v>
      </c>
      <c r="S1" s="5">
        <f t="shared" si="0"/>
        <v>42753</v>
      </c>
      <c r="T1" s="5">
        <f t="shared" si="0"/>
        <v>42754</v>
      </c>
      <c r="U1" s="5">
        <f t="shared" si="0"/>
        <v>42755</v>
      </c>
      <c r="V1" s="5">
        <f t="shared" si="0"/>
        <v>42756</v>
      </c>
      <c r="W1" s="5">
        <f t="shared" si="0"/>
        <v>42757</v>
      </c>
      <c r="X1" s="5">
        <f t="shared" si="0"/>
        <v>42758</v>
      </c>
      <c r="Y1" s="5">
        <f t="shared" si="0"/>
        <v>42759</v>
      </c>
      <c r="Z1" s="5">
        <f t="shared" si="0"/>
        <v>42760</v>
      </c>
      <c r="AA1" s="5">
        <f t="shared" si="0"/>
        <v>42761</v>
      </c>
      <c r="AB1" s="5">
        <f t="shared" si="0"/>
        <v>42762</v>
      </c>
      <c r="AC1" s="5">
        <f t="shared" si="0"/>
        <v>42763</v>
      </c>
      <c r="AD1" s="5">
        <f t="shared" si="0"/>
        <v>42764</v>
      </c>
      <c r="AE1" s="5">
        <f t="shared" si="0"/>
        <v>42765</v>
      </c>
      <c r="AF1" s="5">
        <f t="shared" si="0"/>
        <v>42766</v>
      </c>
      <c r="AG1" s="3" t="s">
        <v>0</v>
      </c>
      <c r="AH1" s="3" t="s">
        <v>1</v>
      </c>
      <c r="AI1" s="3" t="s">
        <v>17</v>
      </c>
    </row>
    <row r="2" spans="1:35" x14ac:dyDescent="0.25">
      <c r="A2" s="10" t="s">
        <v>2</v>
      </c>
      <c r="N2">
        <f>13</f>
        <v>13</v>
      </c>
      <c r="V2">
        <f>170+55</f>
        <v>225</v>
      </c>
      <c r="W2">
        <f>43+15</f>
        <v>58</v>
      </c>
      <c r="AG2" s="4">
        <f t="shared" ref="AG2:AG12" si="1">SUM(B2:AF2)</f>
        <v>296</v>
      </c>
      <c r="AH2" s="4">
        <v>700</v>
      </c>
      <c r="AI2" s="16">
        <f>IF(AH2=0,0,AG2/AH2)</f>
        <v>0.42285714285714288</v>
      </c>
    </row>
    <row r="3" spans="1:35" x14ac:dyDescent="0.25">
      <c r="A3" s="11" t="s">
        <v>3</v>
      </c>
      <c r="L3">
        <f>20</f>
        <v>20</v>
      </c>
      <c r="M3">
        <f>178</f>
        <v>178</v>
      </c>
      <c r="T3">
        <f>10+30</f>
        <v>40</v>
      </c>
      <c r="W3">
        <f>40+60</f>
        <v>100</v>
      </c>
      <c r="AA3">
        <f>156+25</f>
        <v>181</v>
      </c>
      <c r="AC3">
        <f>40</f>
        <v>40</v>
      </c>
      <c r="AG3" s="4">
        <f t="shared" si="1"/>
        <v>559</v>
      </c>
      <c r="AH3" s="4">
        <v>500</v>
      </c>
      <c r="AI3" s="16">
        <f t="shared" ref="AI3:AI13" si="2">IF(AH3=0,0,AG3/AH3)</f>
        <v>1.1180000000000001</v>
      </c>
    </row>
    <row r="4" spans="1:35" x14ac:dyDescent="0.25">
      <c r="A4" s="11" t="s">
        <v>4</v>
      </c>
      <c r="F4">
        <f>70</f>
        <v>70</v>
      </c>
      <c r="P4">
        <f>300+200</f>
        <v>500</v>
      </c>
      <c r="S4">
        <f>40</f>
        <v>40</v>
      </c>
      <c r="W4">
        <f>122</f>
        <v>122</v>
      </c>
      <c r="AB4">
        <f>30</f>
        <v>30</v>
      </c>
      <c r="AF4">
        <f>200</f>
        <v>200</v>
      </c>
      <c r="AG4" s="4">
        <f t="shared" si="1"/>
        <v>962</v>
      </c>
      <c r="AH4" s="4">
        <v>600</v>
      </c>
      <c r="AI4" s="16">
        <f t="shared" si="2"/>
        <v>1.6033333333333333</v>
      </c>
    </row>
    <row r="5" spans="1:35" x14ac:dyDescent="0.25">
      <c r="A5" s="11" t="s">
        <v>5</v>
      </c>
      <c r="C5">
        <v>400</v>
      </c>
      <c r="G5">
        <f>40</f>
        <v>40</v>
      </c>
      <c r="J5">
        <f>150</f>
        <v>150</v>
      </c>
      <c r="K5">
        <f>120</f>
        <v>120</v>
      </c>
      <c r="X5">
        <f>95</f>
        <v>95</v>
      </c>
      <c r="Y5">
        <f>-6000</f>
        <v>-6000</v>
      </c>
      <c r="Z5">
        <f>71</f>
        <v>71</v>
      </c>
      <c r="AA5">
        <f>3500</f>
        <v>3500</v>
      </c>
      <c r="AC5">
        <f>1600+1000</f>
        <v>2600</v>
      </c>
      <c r="AG5" s="4">
        <f t="shared" si="1"/>
        <v>976</v>
      </c>
      <c r="AH5" s="4">
        <v>1500</v>
      </c>
      <c r="AI5" s="16">
        <f t="shared" si="2"/>
        <v>0.65066666666666662</v>
      </c>
    </row>
    <row r="6" spans="1:35" x14ac:dyDescent="0.25">
      <c r="A6" s="11" t="s">
        <v>13</v>
      </c>
      <c r="D6">
        <f>10</f>
        <v>10</v>
      </c>
      <c r="E6">
        <f>20</f>
        <v>20</v>
      </c>
      <c r="K6">
        <f>20</f>
        <v>20</v>
      </c>
      <c r="L6">
        <f>20</f>
        <v>20</v>
      </c>
      <c r="P6">
        <f>50</f>
        <v>50</v>
      </c>
      <c r="S6">
        <f>20</f>
        <v>20</v>
      </c>
      <c r="AG6" s="4">
        <f t="shared" si="1"/>
        <v>140</v>
      </c>
      <c r="AH6" s="4">
        <v>400</v>
      </c>
      <c r="AI6" s="16">
        <f t="shared" si="2"/>
        <v>0.35</v>
      </c>
    </row>
    <row r="7" spans="1:35" x14ac:dyDescent="0.25">
      <c r="A7" s="11" t="s">
        <v>6</v>
      </c>
      <c r="D7">
        <f>50</f>
        <v>50</v>
      </c>
      <c r="E7">
        <f>30</f>
        <v>30</v>
      </c>
      <c r="I7" s="6">
        <v>470</v>
      </c>
      <c r="P7" s="6"/>
      <c r="AG7" s="4">
        <f t="shared" si="1"/>
        <v>550</v>
      </c>
      <c r="AH7" s="4">
        <v>500</v>
      </c>
      <c r="AI7" s="16">
        <f t="shared" si="2"/>
        <v>1.1000000000000001</v>
      </c>
    </row>
    <row r="8" spans="1:35" x14ac:dyDescent="0.25">
      <c r="A8" s="11" t="s">
        <v>7</v>
      </c>
      <c r="AG8" s="4">
        <f t="shared" si="1"/>
        <v>0</v>
      </c>
      <c r="AH8" s="4">
        <v>0</v>
      </c>
      <c r="AI8" s="16">
        <f t="shared" si="2"/>
        <v>0</v>
      </c>
    </row>
    <row r="9" spans="1:35" x14ac:dyDescent="0.25">
      <c r="A9" s="11" t="s">
        <v>8</v>
      </c>
      <c r="D9">
        <f>10</f>
        <v>10</v>
      </c>
      <c r="G9">
        <f>99</f>
        <v>99</v>
      </c>
      <c r="N9">
        <f>25</f>
        <v>25</v>
      </c>
      <c r="O9">
        <f>270</f>
        <v>270</v>
      </c>
      <c r="R9">
        <f>189+10</f>
        <v>199</v>
      </c>
      <c r="V9">
        <f>1030</f>
        <v>1030</v>
      </c>
      <c r="W9">
        <f>234+168</f>
        <v>402</v>
      </c>
      <c r="AD9">
        <f>129+444+209</f>
        <v>782</v>
      </c>
      <c r="AE9">
        <f>200</f>
        <v>200</v>
      </c>
      <c r="AF9">
        <f>100</f>
        <v>100</v>
      </c>
      <c r="AG9" s="4">
        <f t="shared" si="1"/>
        <v>3117</v>
      </c>
      <c r="AH9" s="4">
        <v>1500</v>
      </c>
      <c r="AI9" s="16">
        <f t="shared" si="2"/>
        <v>2.0779999999999998</v>
      </c>
    </row>
    <row r="10" spans="1:35" x14ac:dyDescent="0.25">
      <c r="A10" s="11" t="s">
        <v>9</v>
      </c>
      <c r="I10" s="6"/>
      <c r="K10">
        <f>-100-100</f>
        <v>-200</v>
      </c>
      <c r="M10">
        <f>100</f>
        <v>100</v>
      </c>
      <c r="R10">
        <f>100</f>
        <v>100</v>
      </c>
      <c r="AA10">
        <f>3500-500</f>
        <v>3000</v>
      </c>
      <c r="AC10">
        <f>-3000</f>
        <v>-3000</v>
      </c>
      <c r="AG10" s="4">
        <f t="shared" si="1"/>
        <v>0</v>
      </c>
      <c r="AH10" s="4">
        <v>0</v>
      </c>
      <c r="AI10" s="16">
        <f t="shared" si="2"/>
        <v>0</v>
      </c>
    </row>
    <row r="11" spans="1:35" x14ac:dyDescent="0.25">
      <c r="A11" s="11" t="s">
        <v>10</v>
      </c>
      <c r="M11">
        <f>215</f>
        <v>215</v>
      </c>
      <c r="Q11">
        <f>40</f>
        <v>40</v>
      </c>
      <c r="R11">
        <f>47+145</f>
        <v>192</v>
      </c>
      <c r="T11">
        <f>37</f>
        <v>37</v>
      </c>
      <c r="U11">
        <f>330</f>
        <v>330</v>
      </c>
      <c r="W11">
        <f>300</f>
        <v>300</v>
      </c>
      <c r="AD11">
        <f>220</f>
        <v>220</v>
      </c>
      <c r="AG11" s="4">
        <f t="shared" si="1"/>
        <v>1334</v>
      </c>
      <c r="AH11" s="4">
        <v>500</v>
      </c>
      <c r="AI11" s="16">
        <f t="shared" si="2"/>
        <v>2.6680000000000001</v>
      </c>
    </row>
    <row r="12" spans="1:35" x14ac:dyDescent="0.25">
      <c r="A12" s="12" t="s">
        <v>11</v>
      </c>
      <c r="AG12" s="4">
        <f t="shared" si="1"/>
        <v>0</v>
      </c>
      <c r="AH12" s="4">
        <v>500</v>
      </c>
      <c r="AI12" s="16">
        <f t="shared" si="2"/>
        <v>0</v>
      </c>
    </row>
    <row r="13" spans="1:35" s="2" customFormat="1" x14ac:dyDescent="0.25">
      <c r="A13" s="7" t="s">
        <v>12</v>
      </c>
      <c r="B13" s="8">
        <f t="shared" ref="B13:AF13" si="3">SUM(B2:B12)</f>
        <v>0</v>
      </c>
      <c r="C13" s="8">
        <f t="shared" si="3"/>
        <v>400</v>
      </c>
      <c r="D13" s="8">
        <f t="shared" si="3"/>
        <v>70</v>
      </c>
      <c r="E13" s="8">
        <f t="shared" si="3"/>
        <v>50</v>
      </c>
      <c r="F13" s="8">
        <f t="shared" si="3"/>
        <v>70</v>
      </c>
      <c r="G13" s="8">
        <f t="shared" si="3"/>
        <v>139</v>
      </c>
      <c r="H13" s="8">
        <f t="shared" si="3"/>
        <v>0</v>
      </c>
      <c r="I13" s="8">
        <f t="shared" si="3"/>
        <v>470</v>
      </c>
      <c r="J13" s="8">
        <f t="shared" si="3"/>
        <v>150</v>
      </c>
      <c r="K13" s="8">
        <f t="shared" si="3"/>
        <v>-60</v>
      </c>
      <c r="L13" s="8">
        <f t="shared" si="3"/>
        <v>40</v>
      </c>
      <c r="M13" s="8">
        <f t="shared" si="3"/>
        <v>493</v>
      </c>
      <c r="N13" s="8">
        <f t="shared" si="3"/>
        <v>38</v>
      </c>
      <c r="O13" s="8">
        <f t="shared" si="3"/>
        <v>270</v>
      </c>
      <c r="P13" s="8">
        <f t="shared" si="3"/>
        <v>550</v>
      </c>
      <c r="Q13" s="8">
        <f t="shared" si="3"/>
        <v>40</v>
      </c>
      <c r="R13" s="8">
        <f t="shared" si="3"/>
        <v>491</v>
      </c>
      <c r="S13" s="8">
        <f t="shared" si="3"/>
        <v>60</v>
      </c>
      <c r="T13" s="8">
        <f t="shared" si="3"/>
        <v>77</v>
      </c>
      <c r="U13" s="8">
        <f t="shared" si="3"/>
        <v>330</v>
      </c>
      <c r="V13" s="8">
        <f t="shared" si="3"/>
        <v>1255</v>
      </c>
      <c r="W13" s="8">
        <f t="shared" si="3"/>
        <v>982</v>
      </c>
      <c r="X13" s="8">
        <f t="shared" si="3"/>
        <v>95</v>
      </c>
      <c r="Y13" s="8">
        <f t="shared" si="3"/>
        <v>-6000</v>
      </c>
      <c r="Z13" s="8">
        <f t="shared" si="3"/>
        <v>71</v>
      </c>
      <c r="AA13" s="8">
        <f t="shared" si="3"/>
        <v>6681</v>
      </c>
      <c r="AB13" s="8">
        <f t="shared" si="3"/>
        <v>30</v>
      </c>
      <c r="AC13" s="8">
        <f t="shared" si="3"/>
        <v>-360</v>
      </c>
      <c r="AD13" s="8">
        <f t="shared" si="3"/>
        <v>1002</v>
      </c>
      <c r="AE13" s="8">
        <f t="shared" si="3"/>
        <v>200</v>
      </c>
      <c r="AF13" s="8">
        <f t="shared" si="3"/>
        <v>300</v>
      </c>
      <c r="AG13" s="8">
        <f>SUM(AG2:AG12)</f>
        <v>7934</v>
      </c>
      <c r="AH13" s="8">
        <f>SUM(AH2:AH12)</f>
        <v>6700</v>
      </c>
      <c r="AI13" s="16">
        <f t="shared" si="2"/>
        <v>1.184179104477612</v>
      </c>
    </row>
    <row r="14" spans="1:35" x14ac:dyDescent="0.25">
      <c r="A14" s="6"/>
    </row>
    <row r="15" spans="1:35" x14ac:dyDescent="0.25">
      <c r="A15" s="13" t="s">
        <v>14</v>
      </c>
    </row>
    <row r="16" spans="1:35" x14ac:dyDescent="0.25">
      <c r="A16" s="14">
        <f>AH13</f>
        <v>6700</v>
      </c>
      <c r="AG16" s="9"/>
    </row>
    <row r="17" spans="1:1" x14ac:dyDescent="0.25">
      <c r="A17" s="13" t="s">
        <v>15</v>
      </c>
    </row>
    <row r="18" spans="1:1" x14ac:dyDescent="0.25">
      <c r="A18" s="14">
        <f>AG13</f>
        <v>7934</v>
      </c>
    </row>
    <row r="19" spans="1:1" x14ac:dyDescent="0.25">
      <c r="A19" s="13" t="s">
        <v>16</v>
      </c>
    </row>
    <row r="20" spans="1:1" x14ac:dyDescent="0.25">
      <c r="A20" s="15">
        <f>A18/A16</f>
        <v>1.184179104477612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topLeftCell="A17" zoomScaleNormal="100" workbookViewId="0">
      <pane xSplit="1" topLeftCell="S1" activePane="topRight" state="frozen"/>
      <selection pane="topRight" activeCell="A18" sqref="A18"/>
    </sheetView>
  </sheetViews>
  <sheetFormatPr defaultRowHeight="15" x14ac:dyDescent="0.25"/>
  <cols>
    <col min="1" max="1" width="20" style="42" customWidth="1"/>
    <col min="2" max="2" width="9.5703125" style="42" bestFit="1" customWidth="1"/>
    <col min="3" max="32" width="9.85546875" style="42" customWidth="1"/>
    <col min="33" max="33" width="13.85546875" style="42" customWidth="1"/>
    <col min="34" max="34" width="13.28515625" style="42" customWidth="1"/>
    <col min="35" max="35" width="12.140625" style="42" customWidth="1"/>
    <col min="36" max="16384" width="9.140625" style="42"/>
  </cols>
  <sheetData>
    <row r="1" spans="1:35" x14ac:dyDescent="0.25">
      <c r="A1" s="39"/>
      <c r="B1" s="40">
        <v>43009</v>
      </c>
      <c r="C1" s="40">
        <f>B1+1</f>
        <v>43010</v>
      </c>
      <c r="D1" s="40">
        <f>C1+1</f>
        <v>43011</v>
      </c>
      <c r="E1" s="40">
        <f t="shared" ref="E1:T1" si="0">D1+1</f>
        <v>43012</v>
      </c>
      <c r="F1" s="40">
        <f t="shared" si="0"/>
        <v>43013</v>
      </c>
      <c r="G1" s="40">
        <f t="shared" si="0"/>
        <v>43014</v>
      </c>
      <c r="H1" s="40">
        <f t="shared" si="0"/>
        <v>43015</v>
      </c>
      <c r="I1" s="40">
        <f t="shared" si="0"/>
        <v>43016</v>
      </c>
      <c r="J1" s="40">
        <f t="shared" si="0"/>
        <v>43017</v>
      </c>
      <c r="K1" s="40">
        <f t="shared" si="0"/>
        <v>43018</v>
      </c>
      <c r="L1" s="40">
        <f t="shared" si="0"/>
        <v>43019</v>
      </c>
      <c r="M1" s="40">
        <f t="shared" si="0"/>
        <v>43020</v>
      </c>
      <c r="N1" s="40">
        <f t="shared" si="0"/>
        <v>43021</v>
      </c>
      <c r="O1" s="40">
        <f t="shared" si="0"/>
        <v>43022</v>
      </c>
      <c r="P1" s="40">
        <f t="shared" si="0"/>
        <v>43023</v>
      </c>
      <c r="Q1" s="40">
        <f t="shared" si="0"/>
        <v>43024</v>
      </c>
      <c r="R1" s="40">
        <f t="shared" si="0"/>
        <v>43025</v>
      </c>
      <c r="S1" s="40">
        <f t="shared" si="0"/>
        <v>43026</v>
      </c>
      <c r="T1" s="40">
        <f t="shared" si="0"/>
        <v>43027</v>
      </c>
      <c r="U1" s="40">
        <f t="shared" ref="U1" si="1">T1+1</f>
        <v>43028</v>
      </c>
      <c r="V1" s="40">
        <f t="shared" ref="V1" si="2">U1+1</f>
        <v>43029</v>
      </c>
      <c r="W1" s="40">
        <f t="shared" ref="W1" si="3">V1+1</f>
        <v>43030</v>
      </c>
      <c r="X1" s="40">
        <f t="shared" ref="X1" si="4">W1+1</f>
        <v>43031</v>
      </c>
      <c r="Y1" s="40">
        <f t="shared" ref="Y1" si="5">X1+1</f>
        <v>43032</v>
      </c>
      <c r="Z1" s="40">
        <f t="shared" ref="Z1" si="6">Y1+1</f>
        <v>43033</v>
      </c>
      <c r="AA1" s="40">
        <f t="shared" ref="AA1" si="7">Z1+1</f>
        <v>43034</v>
      </c>
      <c r="AB1" s="40">
        <f t="shared" ref="AB1" si="8">AA1+1</f>
        <v>43035</v>
      </c>
      <c r="AC1" s="40">
        <f t="shared" ref="AC1" si="9">AB1+1</f>
        <v>43036</v>
      </c>
      <c r="AD1" s="40">
        <f t="shared" ref="AD1" si="10">AC1+1</f>
        <v>43037</v>
      </c>
      <c r="AE1" s="40">
        <f t="shared" ref="AE1" si="11">AD1+1</f>
        <v>43038</v>
      </c>
      <c r="AF1" s="40">
        <f t="shared" ref="AF1" si="12">AE1+1</f>
        <v>43039</v>
      </c>
      <c r="AG1" s="41" t="s">
        <v>0</v>
      </c>
      <c r="AH1" s="41" t="s">
        <v>1</v>
      </c>
      <c r="AI1" s="41" t="s">
        <v>17</v>
      </c>
    </row>
    <row r="2" spans="1:35" x14ac:dyDescent="0.25">
      <c r="A2" s="43" t="s">
        <v>2</v>
      </c>
      <c r="J2" s="42">
        <f>50</f>
        <v>50</v>
      </c>
      <c r="L2" s="42">
        <f>185</f>
        <v>185</v>
      </c>
      <c r="V2" s="42">
        <f>600</f>
        <v>600</v>
      </c>
      <c r="W2" s="42">
        <f>500</f>
        <v>500</v>
      </c>
      <c r="X2" s="42">
        <f>100</f>
        <v>100</v>
      </c>
      <c r="Z2" s="42">
        <f>150</f>
        <v>150</v>
      </c>
      <c r="AE2" s="42">
        <f>100</f>
        <v>100</v>
      </c>
      <c r="AG2" s="39">
        <f t="shared" ref="AG2:AG12" si="13">SUM(B2:AF2)</f>
        <v>1685</v>
      </c>
      <c r="AH2" s="39">
        <v>2000</v>
      </c>
      <c r="AI2" s="44">
        <f>IF(AH2=0,0,AG2/AH2)</f>
        <v>0.84250000000000003</v>
      </c>
    </row>
    <row r="3" spans="1:35" x14ac:dyDescent="0.25">
      <c r="A3" s="45" t="s">
        <v>3</v>
      </c>
      <c r="AG3" s="39">
        <f t="shared" si="13"/>
        <v>0</v>
      </c>
      <c r="AH3" s="39">
        <v>500</v>
      </c>
      <c r="AI3" s="44">
        <f t="shared" ref="AI3:AI13" si="14">IF(AH3=0,0,AG3/AH3)</f>
        <v>0</v>
      </c>
    </row>
    <row r="4" spans="1:35" x14ac:dyDescent="0.25">
      <c r="A4" s="45" t="s">
        <v>4</v>
      </c>
      <c r="O4" s="42">
        <f>90+45</f>
        <v>135</v>
      </c>
      <c r="T4" s="42">
        <f>230</f>
        <v>230</v>
      </c>
      <c r="AB4" s="42">
        <f>250+195</f>
        <v>445</v>
      </c>
      <c r="AG4" s="39">
        <f t="shared" si="13"/>
        <v>810</v>
      </c>
      <c r="AH4" s="39">
        <v>1000</v>
      </c>
      <c r="AI4" s="44">
        <f t="shared" si="14"/>
        <v>0.81</v>
      </c>
    </row>
    <row r="5" spans="1:35" x14ac:dyDescent="0.25">
      <c r="A5" s="45" t="s">
        <v>5</v>
      </c>
      <c r="L5" s="42">
        <f>89</f>
        <v>89</v>
      </c>
      <c r="M5" s="42">
        <f>180</f>
        <v>180</v>
      </c>
      <c r="O5" s="42">
        <f>800</f>
        <v>800</v>
      </c>
      <c r="P5" s="42">
        <f>-150-150</f>
        <v>-300</v>
      </c>
      <c r="T5" s="42">
        <f>-500</f>
        <v>-500</v>
      </c>
      <c r="V5" s="42">
        <f>500</f>
        <v>500</v>
      </c>
      <c r="AG5" s="39">
        <f t="shared" si="13"/>
        <v>769</v>
      </c>
      <c r="AH5" s="39">
        <v>1000</v>
      </c>
      <c r="AI5" s="44">
        <f t="shared" si="14"/>
        <v>0.76900000000000002</v>
      </c>
    </row>
    <row r="6" spans="1:35" x14ac:dyDescent="0.25">
      <c r="A6" s="45" t="s">
        <v>13</v>
      </c>
      <c r="C6" s="42">
        <f>50</f>
        <v>50</v>
      </c>
      <c r="D6" s="42">
        <f>50</f>
        <v>50</v>
      </c>
      <c r="G6" s="42">
        <f>50</f>
        <v>50</v>
      </c>
      <c r="H6" s="42">
        <f>20</f>
        <v>20</v>
      </c>
      <c r="U6" s="42">
        <f>50</f>
        <v>50</v>
      </c>
      <c r="Y6" s="42">
        <f>100</f>
        <v>100</v>
      </c>
      <c r="AD6" s="42">
        <f>40</f>
        <v>40</v>
      </c>
      <c r="AF6" s="42">
        <f>50</f>
        <v>50</v>
      </c>
      <c r="AG6" s="39">
        <f t="shared" si="13"/>
        <v>410</v>
      </c>
      <c r="AH6" s="39">
        <v>500</v>
      </c>
      <c r="AI6" s="44">
        <f t="shared" si="14"/>
        <v>0.82</v>
      </c>
    </row>
    <row r="7" spans="1:35" x14ac:dyDescent="0.25">
      <c r="A7" s="45" t="s">
        <v>6</v>
      </c>
      <c r="I7" s="46"/>
      <c r="AD7" s="42">
        <f>130+20</f>
        <v>150</v>
      </c>
      <c r="AG7" s="39">
        <f t="shared" si="13"/>
        <v>150</v>
      </c>
      <c r="AH7" s="39">
        <v>200</v>
      </c>
      <c r="AI7" s="44">
        <f t="shared" si="14"/>
        <v>0.75</v>
      </c>
    </row>
    <row r="8" spans="1:35" x14ac:dyDescent="0.25">
      <c r="A8" s="45" t="s">
        <v>7</v>
      </c>
      <c r="AG8" s="39">
        <f t="shared" si="13"/>
        <v>0</v>
      </c>
      <c r="AH8" s="39">
        <v>0</v>
      </c>
      <c r="AI8" s="44">
        <f t="shared" si="14"/>
        <v>0</v>
      </c>
    </row>
    <row r="9" spans="1:35" x14ac:dyDescent="0.25">
      <c r="A9" s="45" t="s">
        <v>8</v>
      </c>
      <c r="D9" s="42">
        <f>500</f>
        <v>500</v>
      </c>
      <c r="E9" s="42">
        <f>162</f>
        <v>162</v>
      </c>
      <c r="I9" s="42">
        <f>100</f>
        <v>100</v>
      </c>
      <c r="L9" s="42">
        <f>500</f>
        <v>500</v>
      </c>
      <c r="N9" s="42">
        <f>200</f>
        <v>200</v>
      </c>
      <c r="P9" s="42">
        <f>200+180</f>
        <v>380</v>
      </c>
      <c r="T9" s="42">
        <f>500</f>
        <v>500</v>
      </c>
      <c r="AC9" s="42">
        <f>500</f>
        <v>500</v>
      </c>
      <c r="AG9" s="39">
        <f t="shared" si="13"/>
        <v>2842</v>
      </c>
      <c r="AH9" s="39">
        <v>2000</v>
      </c>
      <c r="AI9" s="44">
        <f t="shared" si="14"/>
        <v>1.421</v>
      </c>
    </row>
    <row r="10" spans="1:35" x14ac:dyDescent="0.25">
      <c r="A10" s="45" t="s">
        <v>9</v>
      </c>
      <c r="D10" s="42">
        <f>-1000</f>
        <v>-1000</v>
      </c>
      <c r="E10" s="42">
        <f>-2000</f>
        <v>-2000</v>
      </c>
      <c r="G10" s="42">
        <f>2300</f>
        <v>2300</v>
      </c>
      <c r="I10" s="46"/>
      <c r="K10" s="42">
        <f>1000</f>
        <v>1000</v>
      </c>
      <c r="R10" s="42">
        <f>-550</f>
        <v>-550</v>
      </c>
      <c r="AF10" s="42">
        <f>-1000</f>
        <v>-1000</v>
      </c>
      <c r="AG10" s="39">
        <f t="shared" si="13"/>
        <v>-1250</v>
      </c>
      <c r="AH10" s="39">
        <f>2300</f>
        <v>2300</v>
      </c>
      <c r="AI10" s="44">
        <f t="shared" si="14"/>
        <v>-0.54347826086956519</v>
      </c>
    </row>
    <row r="11" spans="1:35" x14ac:dyDescent="0.25">
      <c r="A11" s="45" t="s">
        <v>10</v>
      </c>
      <c r="B11" s="42">
        <f>400</f>
        <v>400</v>
      </c>
      <c r="C11" s="42">
        <f>30</f>
        <v>30</v>
      </c>
      <c r="D11" s="42">
        <f>315</f>
        <v>315</v>
      </c>
      <c r="E11" s="42">
        <f>538</f>
        <v>538</v>
      </c>
      <c r="F11" s="42">
        <f>30+25</f>
        <v>55</v>
      </c>
      <c r="G11" s="42">
        <f>20+519</f>
        <v>539</v>
      </c>
      <c r="H11" s="42">
        <f>135</f>
        <v>135</v>
      </c>
      <c r="J11" s="42">
        <f>85+600</f>
        <v>685</v>
      </c>
      <c r="K11" s="42">
        <f>93</f>
        <v>93</v>
      </c>
      <c r="L11" s="42">
        <f>281</f>
        <v>281</v>
      </c>
      <c r="M11" s="42">
        <f>380</f>
        <v>380</v>
      </c>
      <c r="N11" s="42">
        <f>230+35</f>
        <v>265</v>
      </c>
      <c r="O11" s="42">
        <f>1100</f>
        <v>1100</v>
      </c>
      <c r="P11" s="42">
        <f>280</f>
        <v>280</v>
      </c>
      <c r="Q11" s="42">
        <f>262</f>
        <v>262</v>
      </c>
      <c r="R11" s="42">
        <f>209+476+248</f>
        <v>933</v>
      </c>
      <c r="S11" s="42">
        <f>248+207</f>
        <v>455</v>
      </c>
      <c r="U11" s="42">
        <f>10+50+70</f>
        <v>130</v>
      </c>
      <c r="V11" s="42">
        <f>20</f>
        <v>20</v>
      </c>
      <c r="W11" s="42">
        <f>30</f>
        <v>30</v>
      </c>
      <c r="X11" s="42">
        <f>162+85</f>
        <v>247</v>
      </c>
      <c r="Y11" s="42">
        <f>75</f>
        <v>75</v>
      </c>
      <c r="Z11" s="42">
        <f>81+429</f>
        <v>510</v>
      </c>
      <c r="AA11" s="42">
        <f>126+245</f>
        <v>371</v>
      </c>
      <c r="AB11" s="42">
        <f>245</f>
        <v>245</v>
      </c>
      <c r="AC11" s="42">
        <f>520+336</f>
        <v>856</v>
      </c>
      <c r="AE11" s="42">
        <f>96</f>
        <v>96</v>
      </c>
      <c r="AF11" s="42">
        <f>200</f>
        <v>200</v>
      </c>
      <c r="AG11" s="39">
        <f t="shared" si="13"/>
        <v>9526</v>
      </c>
      <c r="AH11" s="39">
        <v>6000</v>
      </c>
      <c r="AI11" s="44">
        <f t="shared" si="14"/>
        <v>1.5876666666666666</v>
      </c>
    </row>
    <row r="12" spans="1:35" x14ac:dyDescent="0.25">
      <c r="A12" s="47" t="s">
        <v>11</v>
      </c>
      <c r="I12" s="42">
        <f>980</f>
        <v>980</v>
      </c>
      <c r="AE12" s="42">
        <f>195</f>
        <v>195</v>
      </c>
      <c r="AG12" s="39">
        <f t="shared" si="13"/>
        <v>1175</v>
      </c>
      <c r="AH12" s="39">
        <v>500</v>
      </c>
      <c r="AI12" s="44">
        <f t="shared" si="14"/>
        <v>2.35</v>
      </c>
    </row>
    <row r="13" spans="1:35" s="50" customFormat="1" x14ac:dyDescent="0.25">
      <c r="A13" s="48" t="s">
        <v>12</v>
      </c>
      <c r="B13" s="49">
        <f t="shared" ref="B13:AF13" si="15">SUM(B2:B12)</f>
        <v>400</v>
      </c>
      <c r="C13" s="49">
        <f t="shared" si="15"/>
        <v>80</v>
      </c>
      <c r="D13" s="49">
        <f t="shared" si="15"/>
        <v>-135</v>
      </c>
      <c r="E13" s="49">
        <f t="shared" si="15"/>
        <v>-1300</v>
      </c>
      <c r="F13" s="49">
        <f t="shared" si="15"/>
        <v>55</v>
      </c>
      <c r="G13" s="49">
        <f t="shared" si="15"/>
        <v>2889</v>
      </c>
      <c r="H13" s="49">
        <f t="shared" si="15"/>
        <v>155</v>
      </c>
      <c r="I13" s="49">
        <f t="shared" si="15"/>
        <v>1080</v>
      </c>
      <c r="J13" s="49">
        <f t="shared" si="15"/>
        <v>735</v>
      </c>
      <c r="K13" s="49">
        <f t="shared" si="15"/>
        <v>1093</v>
      </c>
      <c r="L13" s="49">
        <f t="shared" si="15"/>
        <v>1055</v>
      </c>
      <c r="M13" s="49">
        <f t="shared" si="15"/>
        <v>560</v>
      </c>
      <c r="N13" s="49">
        <f t="shared" si="15"/>
        <v>465</v>
      </c>
      <c r="O13" s="49">
        <f t="shared" si="15"/>
        <v>2035</v>
      </c>
      <c r="P13" s="49">
        <f t="shared" si="15"/>
        <v>360</v>
      </c>
      <c r="Q13" s="49">
        <f t="shared" si="15"/>
        <v>262</v>
      </c>
      <c r="R13" s="49">
        <f t="shared" si="15"/>
        <v>383</v>
      </c>
      <c r="S13" s="49">
        <f t="shared" si="15"/>
        <v>455</v>
      </c>
      <c r="T13" s="49">
        <f t="shared" si="15"/>
        <v>230</v>
      </c>
      <c r="U13" s="49">
        <f t="shared" si="15"/>
        <v>180</v>
      </c>
      <c r="V13" s="49">
        <f t="shared" si="15"/>
        <v>1120</v>
      </c>
      <c r="W13" s="49">
        <f t="shared" si="15"/>
        <v>530</v>
      </c>
      <c r="X13" s="49">
        <f t="shared" si="15"/>
        <v>347</v>
      </c>
      <c r="Y13" s="49">
        <f t="shared" si="15"/>
        <v>175</v>
      </c>
      <c r="Z13" s="49">
        <f t="shared" si="15"/>
        <v>660</v>
      </c>
      <c r="AA13" s="49">
        <f t="shared" ref="AA13" si="16">SUM(AA2:AA12)</f>
        <v>371</v>
      </c>
      <c r="AB13" s="49">
        <f t="shared" si="15"/>
        <v>690</v>
      </c>
      <c r="AC13" s="49">
        <f t="shared" si="15"/>
        <v>1356</v>
      </c>
      <c r="AD13" s="49">
        <f t="shared" si="15"/>
        <v>190</v>
      </c>
      <c r="AE13" s="49">
        <f t="shared" si="15"/>
        <v>391</v>
      </c>
      <c r="AF13" s="49">
        <f t="shared" si="15"/>
        <v>-750</v>
      </c>
      <c r="AG13" s="49">
        <f>SUM(AG2:AG12)</f>
        <v>16117</v>
      </c>
      <c r="AH13" s="49">
        <f>SUM(AH2:AH12)</f>
        <v>16000</v>
      </c>
      <c r="AI13" s="44">
        <f t="shared" si="14"/>
        <v>1.0073125000000001</v>
      </c>
    </row>
    <row r="14" spans="1:35" x14ac:dyDescent="0.25">
      <c r="A14" s="46"/>
    </row>
    <row r="15" spans="1:35" x14ac:dyDescent="0.25">
      <c r="A15" s="51" t="s">
        <v>14</v>
      </c>
    </row>
    <row r="16" spans="1:35" x14ac:dyDescent="0.25">
      <c r="A16" s="52">
        <f>AH13</f>
        <v>16000</v>
      </c>
      <c r="AG16" s="53"/>
    </row>
    <row r="17" spans="1:32" x14ac:dyDescent="0.25">
      <c r="A17" s="51" t="s">
        <v>15</v>
      </c>
    </row>
    <row r="18" spans="1:32" x14ac:dyDescent="0.25">
      <c r="A18" s="52">
        <f>AG13</f>
        <v>16117</v>
      </c>
    </row>
    <row r="19" spans="1:32" x14ac:dyDescent="0.25">
      <c r="A19" s="51" t="s">
        <v>16</v>
      </c>
    </row>
    <row r="20" spans="1:32" x14ac:dyDescent="0.25">
      <c r="A20" s="54">
        <f>A18/A16</f>
        <v>1.0073125000000001</v>
      </c>
    </row>
    <row r="21" spans="1:32" x14ac:dyDescent="0.25">
      <c r="A21" s="55"/>
    </row>
    <row r="22" spans="1:32" x14ac:dyDescent="0.25">
      <c r="B22" s="56">
        <f>($AH$13/COUNTA($B$13:$AF$13))*COUNT($B$13:B13)</f>
        <v>516.12903225806451</v>
      </c>
      <c r="C22" s="56">
        <f>($AH$13/COUNTA($B$13:$AF$13))*COUNT($B$13:C13)</f>
        <v>1032.258064516129</v>
      </c>
      <c r="D22" s="56">
        <f>($AH$13/COUNTA($B$13:$AF$13))*COUNT($B$13:D13)</f>
        <v>1548.3870967741937</v>
      </c>
      <c r="E22" s="56">
        <f>($AH$13/COUNTA($B$13:$AF$13))*COUNT($B$13:E13)</f>
        <v>2064.516129032258</v>
      </c>
      <c r="F22" s="56">
        <f>($AH$13/COUNTA($B$13:$AF$13))*COUNT($B$13:F13)</f>
        <v>2580.6451612903224</v>
      </c>
      <c r="G22" s="56">
        <f>($AH$13/COUNTA($B$13:$AF$13))*COUNT($B$13:G13)</f>
        <v>3096.7741935483873</v>
      </c>
      <c r="H22" s="56">
        <f>($AH$13/COUNTA($B$13:$AF$13))*COUNT($B$13:H13)</f>
        <v>3612.9032258064517</v>
      </c>
      <c r="I22" s="56">
        <f>($AH$13/COUNTA($B$13:$AF$13))*COUNT($B$13:I13)</f>
        <v>4129.0322580645161</v>
      </c>
      <c r="J22" s="56">
        <f>($AH$13/COUNTA($B$13:$AF$13))*COUNT($B$13:J13)</f>
        <v>4645.1612903225805</v>
      </c>
      <c r="K22" s="56">
        <f>($AH$13/COUNTA($B$13:$AF$13))*COUNT($B$13:K13)</f>
        <v>5161.2903225806449</v>
      </c>
      <c r="L22" s="56">
        <f>($AH$13/COUNTA($B$13:$AF$13))*COUNT($B$13:L13)</f>
        <v>5677.4193548387093</v>
      </c>
      <c r="M22" s="56">
        <f>($AH$13/COUNTA($B$13:$AF$13))*COUNT($B$13:M13)</f>
        <v>6193.5483870967746</v>
      </c>
      <c r="N22" s="56">
        <f>($AH$13/COUNTA($B$13:$AF$13))*COUNT($B$13:N13)</f>
        <v>6709.677419354839</v>
      </c>
      <c r="O22" s="56">
        <f>($AH$13/COUNTA($B$13:$AF$13))*COUNT($B$13:O13)</f>
        <v>7225.8064516129034</v>
      </c>
      <c r="P22" s="56">
        <f>($AH$13/COUNTA($B$13:$AF$13))*COUNT($B$13:P13)</f>
        <v>7741.9354838709678</v>
      </c>
      <c r="Q22" s="56">
        <f>($AH$13/COUNTA($B$13:$AF$13))*COUNT($B$13:Q13)</f>
        <v>8258.0645161290322</v>
      </c>
      <c r="R22" s="56">
        <f>($AH$13/COUNTA($B$13:$AF$13))*COUNT($B$13:R13)</f>
        <v>8774.1935483870966</v>
      </c>
      <c r="S22" s="56">
        <f>($AH$13/COUNTA($B$13:$AF$13))*COUNT($B$13:S13)</f>
        <v>9290.322580645161</v>
      </c>
      <c r="T22" s="56">
        <f>($AH$13/COUNTA($B$13:$AF$13))*COUNT($B$13:T13)</f>
        <v>9806.4516129032254</v>
      </c>
      <c r="U22" s="56">
        <f>($AH$13/COUNTA($B$13:$AF$13))*COUNT($B$13:U13)</f>
        <v>10322.58064516129</v>
      </c>
      <c r="V22" s="56">
        <f>($AH$13/COUNTA($B$13:$AF$13))*COUNT($B$13:V13)</f>
        <v>10838.709677419354</v>
      </c>
      <c r="W22" s="56">
        <f>($AH$13/COUNTA($B$13:$AF$13))*COUNT($B$13:W13)</f>
        <v>11354.838709677419</v>
      </c>
      <c r="X22" s="56">
        <f>($AH$13/COUNTA($B$13:$AF$13))*COUNT($B$13:X13)</f>
        <v>11870.967741935483</v>
      </c>
      <c r="Y22" s="56">
        <f>($AH$13/COUNTA($B$13:$AF$13))*COUNT($B$13:Y13)</f>
        <v>12387.096774193549</v>
      </c>
      <c r="Z22" s="56">
        <f>($AH$13/COUNTA($B$13:$AF$13))*COUNT($B$13:Z13)</f>
        <v>12903.225806451614</v>
      </c>
      <c r="AA22" s="56">
        <f>($AH$13/COUNTA($B$13:$AF$13))*COUNT($B$13:AA13)</f>
        <v>13419.354838709678</v>
      </c>
      <c r="AB22" s="56">
        <f>($AH$13/COUNTA($B$13:$AF$13))*COUNT($B$13:AB13)</f>
        <v>13935.483870967742</v>
      </c>
      <c r="AC22" s="56">
        <f>($AH$13/COUNTA($B$13:$AF$13))*COUNT($B$13:AC13)</f>
        <v>14451.612903225807</v>
      </c>
      <c r="AD22" s="56">
        <f>($AH$13/COUNTA($B$13:$AF$13))*COUNT($B$13:AD13)</f>
        <v>14967.741935483871</v>
      </c>
      <c r="AE22" s="56">
        <f>($AH$13/COUNTA($B$13:$AF$13))*COUNT($B$13:AE13)</f>
        <v>15483.870967741936</v>
      </c>
      <c r="AF22" s="56">
        <f>($AH$13/COUNTA($B$13:$AF$13))*COUNT($B$13:AF13)</f>
        <v>16000</v>
      </c>
    </row>
    <row r="23" spans="1:32" x14ac:dyDescent="0.25">
      <c r="B23" s="57">
        <f>B13</f>
        <v>400</v>
      </c>
      <c r="C23" s="57">
        <f>B23+C13</f>
        <v>480</v>
      </c>
      <c r="D23" s="57">
        <f t="shared" ref="D23:AF23" si="17">C23+D13</f>
        <v>345</v>
      </c>
      <c r="E23" s="57">
        <f t="shared" si="17"/>
        <v>-955</v>
      </c>
      <c r="F23" s="57">
        <f t="shared" si="17"/>
        <v>-900</v>
      </c>
      <c r="G23" s="57">
        <f t="shared" si="17"/>
        <v>1989</v>
      </c>
      <c r="H23" s="57">
        <f t="shared" si="17"/>
        <v>2144</v>
      </c>
      <c r="I23" s="57">
        <f t="shared" si="17"/>
        <v>3224</v>
      </c>
      <c r="J23" s="57">
        <f t="shared" si="17"/>
        <v>3959</v>
      </c>
      <c r="K23" s="57">
        <f t="shared" si="17"/>
        <v>5052</v>
      </c>
      <c r="L23" s="57">
        <f t="shared" si="17"/>
        <v>6107</v>
      </c>
      <c r="M23" s="57">
        <f t="shared" si="17"/>
        <v>6667</v>
      </c>
      <c r="N23" s="57">
        <f t="shared" si="17"/>
        <v>7132</v>
      </c>
      <c r="O23" s="57">
        <f t="shared" si="17"/>
        <v>9167</v>
      </c>
      <c r="P23" s="57">
        <f t="shared" si="17"/>
        <v>9527</v>
      </c>
      <c r="Q23" s="57">
        <f t="shared" si="17"/>
        <v>9789</v>
      </c>
      <c r="R23" s="57">
        <f t="shared" si="17"/>
        <v>10172</v>
      </c>
      <c r="S23" s="57">
        <f t="shared" si="17"/>
        <v>10627</v>
      </c>
      <c r="T23" s="57">
        <f t="shared" si="17"/>
        <v>10857</v>
      </c>
      <c r="U23" s="57">
        <f t="shared" si="17"/>
        <v>11037</v>
      </c>
      <c r="V23" s="57">
        <f t="shared" si="17"/>
        <v>12157</v>
      </c>
      <c r="W23" s="57">
        <f t="shared" si="17"/>
        <v>12687</v>
      </c>
      <c r="X23" s="57">
        <f t="shared" si="17"/>
        <v>13034</v>
      </c>
      <c r="Y23" s="57">
        <f t="shared" si="17"/>
        <v>13209</v>
      </c>
      <c r="Z23" s="57">
        <f>Y23+Z13</f>
        <v>13869</v>
      </c>
      <c r="AA23" s="57">
        <f>Y23+AA13</f>
        <v>13580</v>
      </c>
      <c r="AB23" s="57">
        <f>Z23+AB13</f>
        <v>14559</v>
      </c>
      <c r="AC23" s="57">
        <f t="shared" si="17"/>
        <v>15915</v>
      </c>
      <c r="AD23" s="57">
        <f t="shared" si="17"/>
        <v>16105</v>
      </c>
      <c r="AE23" s="57">
        <f t="shared" si="17"/>
        <v>16496</v>
      </c>
      <c r="AF23" s="57">
        <f t="shared" si="17"/>
        <v>15746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3"/>
  <sheetViews>
    <sheetView zoomScaleNormal="100" workbookViewId="0">
      <pane xSplit="1" topLeftCell="R1" activePane="topRight" state="frozen"/>
      <selection pane="topRight" activeCell="AF2" sqref="AF2"/>
    </sheetView>
  </sheetViews>
  <sheetFormatPr defaultRowHeight="15" x14ac:dyDescent="0.25"/>
  <cols>
    <col min="1" max="1" width="20" style="22" customWidth="1"/>
    <col min="2" max="2" width="9.5703125" style="22" bestFit="1" customWidth="1"/>
    <col min="3" max="31" width="9.85546875" style="22" customWidth="1"/>
    <col min="32" max="32" width="13.85546875" style="22" customWidth="1"/>
    <col min="33" max="33" width="13.28515625" style="22" customWidth="1"/>
    <col min="34" max="34" width="12.140625" style="22" customWidth="1"/>
    <col min="35" max="16384" width="9.140625" style="22"/>
  </cols>
  <sheetData>
    <row r="1" spans="1:34" x14ac:dyDescent="0.25">
      <c r="A1" s="19"/>
      <c r="B1" s="20">
        <v>43040</v>
      </c>
      <c r="C1" s="20">
        <f>B1+1</f>
        <v>43041</v>
      </c>
      <c r="D1" s="20">
        <f>C1+1</f>
        <v>43042</v>
      </c>
      <c r="E1" s="20">
        <f t="shared" ref="E1:AE1" si="0">D1+1</f>
        <v>43043</v>
      </c>
      <c r="F1" s="20">
        <f t="shared" si="0"/>
        <v>43044</v>
      </c>
      <c r="G1" s="20">
        <f t="shared" si="0"/>
        <v>43045</v>
      </c>
      <c r="H1" s="20">
        <f t="shared" si="0"/>
        <v>43046</v>
      </c>
      <c r="I1" s="20">
        <f t="shared" si="0"/>
        <v>43047</v>
      </c>
      <c r="J1" s="20">
        <f t="shared" si="0"/>
        <v>43048</v>
      </c>
      <c r="K1" s="20">
        <f t="shared" si="0"/>
        <v>43049</v>
      </c>
      <c r="L1" s="20">
        <f t="shared" si="0"/>
        <v>43050</v>
      </c>
      <c r="M1" s="20">
        <f t="shared" si="0"/>
        <v>43051</v>
      </c>
      <c r="N1" s="20">
        <f t="shared" si="0"/>
        <v>43052</v>
      </c>
      <c r="O1" s="20">
        <f t="shared" si="0"/>
        <v>43053</v>
      </c>
      <c r="P1" s="20">
        <f t="shared" si="0"/>
        <v>43054</v>
      </c>
      <c r="Q1" s="20">
        <f t="shared" si="0"/>
        <v>43055</v>
      </c>
      <c r="R1" s="20">
        <f t="shared" si="0"/>
        <v>43056</v>
      </c>
      <c r="S1" s="20">
        <f t="shared" si="0"/>
        <v>43057</v>
      </c>
      <c r="T1" s="20">
        <f t="shared" si="0"/>
        <v>43058</v>
      </c>
      <c r="U1" s="20">
        <f t="shared" si="0"/>
        <v>43059</v>
      </c>
      <c r="V1" s="20">
        <f t="shared" si="0"/>
        <v>43060</v>
      </c>
      <c r="W1" s="20">
        <f t="shared" si="0"/>
        <v>43061</v>
      </c>
      <c r="X1" s="20">
        <f t="shared" si="0"/>
        <v>43062</v>
      </c>
      <c r="Y1" s="20">
        <f t="shared" si="0"/>
        <v>43063</v>
      </c>
      <c r="Z1" s="20">
        <f t="shared" si="0"/>
        <v>43064</v>
      </c>
      <c r="AA1" s="20">
        <f t="shared" si="0"/>
        <v>43065</v>
      </c>
      <c r="AB1" s="20">
        <f t="shared" si="0"/>
        <v>43066</v>
      </c>
      <c r="AC1" s="20">
        <f t="shared" si="0"/>
        <v>43067</v>
      </c>
      <c r="AD1" s="20">
        <f t="shared" si="0"/>
        <v>43068</v>
      </c>
      <c r="AE1" s="20">
        <f t="shared" si="0"/>
        <v>43069</v>
      </c>
      <c r="AF1" s="21" t="s">
        <v>0</v>
      </c>
      <c r="AG1" s="21" t="s">
        <v>1</v>
      </c>
      <c r="AH1" s="21" t="s">
        <v>17</v>
      </c>
    </row>
    <row r="2" spans="1:34" x14ac:dyDescent="0.25">
      <c r="A2" s="23" t="s">
        <v>2</v>
      </c>
      <c r="B2"/>
      <c r="C2"/>
      <c r="D2"/>
      <c r="E2"/>
      <c r="F2"/>
      <c r="G2"/>
      <c r="H2"/>
      <c r="I2"/>
      <c r="K2"/>
      <c r="L2">
        <f>200+249</f>
        <v>449</v>
      </c>
      <c r="M2"/>
      <c r="N2"/>
      <c r="O2">
        <f>876</f>
        <v>876</v>
      </c>
      <c r="P2"/>
      <c r="R2"/>
      <c r="S2"/>
      <c r="T2">
        <f>700+800+570</f>
        <v>2070</v>
      </c>
      <c r="U2"/>
      <c r="V2"/>
      <c r="W2"/>
      <c r="X2"/>
      <c r="Y2"/>
      <c r="Z2"/>
      <c r="AA2"/>
      <c r="AB2"/>
      <c r="AC2"/>
      <c r="AD2">
        <f>1000</f>
        <v>1000</v>
      </c>
      <c r="AE2"/>
      <c r="AF2" s="19">
        <f t="shared" ref="AF2:AF12" si="1">SUM(B2:AE2)</f>
        <v>4395</v>
      </c>
      <c r="AG2" s="19">
        <v>2000</v>
      </c>
      <c r="AH2" s="24">
        <f>IF(AG2=0,0,AF2/AG2)</f>
        <v>2.1974999999999998</v>
      </c>
    </row>
    <row r="3" spans="1:34" x14ac:dyDescent="0.25">
      <c r="A3" s="25" t="s">
        <v>3</v>
      </c>
      <c r="B3"/>
      <c r="C3"/>
      <c r="D3"/>
      <c r="E3"/>
      <c r="F3"/>
      <c r="G3"/>
      <c r="H3"/>
      <c r="I3"/>
      <c r="J3"/>
      <c r="K3"/>
      <c r="L3">
        <f>24</f>
        <v>24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 s="19">
        <f t="shared" si="1"/>
        <v>24</v>
      </c>
      <c r="AG3" s="19">
        <v>500</v>
      </c>
      <c r="AH3" s="24">
        <f t="shared" ref="AH3:AH13" si="2">IF(AG3=0,0,AF3/AG3)</f>
        <v>4.8000000000000001E-2</v>
      </c>
    </row>
    <row r="4" spans="1:34" x14ac:dyDescent="0.25">
      <c r="A4" s="25" t="s">
        <v>4</v>
      </c>
      <c r="B4"/>
      <c r="C4"/>
      <c r="D4">
        <f>708</f>
        <v>708</v>
      </c>
      <c r="E4">
        <f>70</f>
        <v>70</v>
      </c>
      <c r="F4"/>
      <c r="G4"/>
      <c r="H4"/>
      <c r="I4"/>
      <c r="J4"/>
      <c r="K4"/>
      <c r="L4"/>
      <c r="M4"/>
      <c r="N4"/>
      <c r="O4"/>
      <c r="P4"/>
      <c r="Q4"/>
      <c r="R4"/>
      <c r="S4">
        <f>650</f>
        <v>650</v>
      </c>
      <c r="T4"/>
      <c r="U4"/>
      <c r="V4"/>
      <c r="W4"/>
      <c r="X4"/>
      <c r="Y4"/>
      <c r="Z4"/>
      <c r="AA4"/>
      <c r="AB4"/>
      <c r="AC4"/>
      <c r="AD4"/>
      <c r="AE4"/>
      <c r="AF4" s="19">
        <f t="shared" si="1"/>
        <v>1428</v>
      </c>
      <c r="AG4" s="19">
        <v>1000</v>
      </c>
      <c r="AH4" s="24">
        <f t="shared" si="2"/>
        <v>1.4279999999999999</v>
      </c>
    </row>
    <row r="5" spans="1:34" x14ac:dyDescent="0.25">
      <c r="A5" s="25" t="s">
        <v>5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>
        <f>350</f>
        <v>350</v>
      </c>
      <c r="Q5"/>
      <c r="R5"/>
      <c r="S5"/>
      <c r="T5"/>
      <c r="U5"/>
      <c r="V5"/>
      <c r="W5"/>
      <c r="Y5">
        <f>573</f>
        <v>573</v>
      </c>
      <c r="Z5"/>
      <c r="AA5">
        <f>500</f>
        <v>500</v>
      </c>
      <c r="AB5"/>
      <c r="AC5"/>
      <c r="AD5"/>
      <c r="AE5"/>
      <c r="AF5" s="19">
        <f t="shared" si="1"/>
        <v>1423</v>
      </c>
      <c r="AG5" s="19">
        <v>1000</v>
      </c>
      <c r="AH5" s="24">
        <f t="shared" si="2"/>
        <v>1.423</v>
      </c>
    </row>
    <row r="6" spans="1:34" x14ac:dyDescent="0.25">
      <c r="A6" s="25" t="s">
        <v>13</v>
      </c>
      <c r="B6">
        <f>20</f>
        <v>20</v>
      </c>
      <c r="C6"/>
      <c r="D6"/>
      <c r="E6">
        <f>20</f>
        <v>20</v>
      </c>
      <c r="F6">
        <f>13</f>
        <v>13</v>
      </c>
      <c r="G6"/>
      <c r="H6">
        <f>50</f>
        <v>50</v>
      </c>
      <c r="I6">
        <f>30</f>
        <v>30</v>
      </c>
      <c r="J6"/>
      <c r="K6"/>
      <c r="L6"/>
      <c r="M6"/>
      <c r="N6"/>
      <c r="O6"/>
      <c r="P6"/>
      <c r="Q6"/>
      <c r="R6"/>
      <c r="S6">
        <f>50</f>
        <v>50</v>
      </c>
      <c r="T6">
        <f>100</f>
        <v>100</v>
      </c>
      <c r="U6"/>
      <c r="V6"/>
      <c r="W6"/>
      <c r="X6"/>
      <c r="Y6"/>
      <c r="Z6"/>
      <c r="AA6"/>
      <c r="AB6"/>
      <c r="AC6"/>
      <c r="AD6"/>
      <c r="AE6"/>
      <c r="AF6" s="19">
        <f t="shared" si="1"/>
        <v>283</v>
      </c>
      <c r="AG6" s="19">
        <v>500</v>
      </c>
      <c r="AH6" s="24">
        <f t="shared" si="2"/>
        <v>0.56599999999999995</v>
      </c>
    </row>
    <row r="7" spans="1:34" x14ac:dyDescent="0.25">
      <c r="A7" s="25" t="s">
        <v>6</v>
      </c>
      <c r="B7"/>
      <c r="C7"/>
      <c r="D7">
        <f>-200</f>
        <v>-200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f>40</f>
        <v>40</v>
      </c>
      <c r="U7"/>
      <c r="V7"/>
      <c r="W7"/>
      <c r="X7"/>
      <c r="Y7"/>
      <c r="Z7"/>
      <c r="AA7"/>
      <c r="AB7"/>
      <c r="AC7"/>
      <c r="AD7"/>
      <c r="AE7"/>
      <c r="AF7" s="19">
        <f t="shared" si="1"/>
        <v>-160</v>
      </c>
      <c r="AG7" s="19">
        <v>200</v>
      </c>
      <c r="AH7" s="24">
        <f t="shared" si="2"/>
        <v>-0.8</v>
      </c>
    </row>
    <row r="8" spans="1:34" x14ac:dyDescent="0.25">
      <c r="A8" s="25" t="s">
        <v>7</v>
      </c>
      <c r="B8"/>
      <c r="C8"/>
      <c r="D8"/>
      <c r="E8"/>
      <c r="F8"/>
      <c r="G8"/>
      <c r="H8"/>
      <c r="I8"/>
      <c r="J8"/>
      <c r="K8"/>
      <c r="L8">
        <f>400</f>
        <v>400</v>
      </c>
      <c r="M8"/>
      <c r="N8"/>
      <c r="O8"/>
      <c r="P8"/>
      <c r="Q8">
        <f>300</f>
        <v>300</v>
      </c>
      <c r="R8"/>
      <c r="S8">
        <f>1150</f>
        <v>1150</v>
      </c>
      <c r="T8"/>
      <c r="U8"/>
      <c r="V8"/>
      <c r="W8"/>
      <c r="X8"/>
      <c r="Y8"/>
      <c r="Z8"/>
      <c r="AA8"/>
      <c r="AB8"/>
      <c r="AC8"/>
      <c r="AD8"/>
      <c r="AE8"/>
      <c r="AF8" s="19">
        <f t="shared" si="1"/>
        <v>1850</v>
      </c>
      <c r="AG8" s="19">
        <v>1000</v>
      </c>
      <c r="AH8" s="24">
        <f t="shared" si="2"/>
        <v>1.85</v>
      </c>
    </row>
    <row r="9" spans="1:34" x14ac:dyDescent="0.25">
      <c r="A9" s="25" t="s">
        <v>8</v>
      </c>
      <c r="B9"/>
      <c r="C9"/>
      <c r="D9">
        <f>130</f>
        <v>130</v>
      </c>
      <c r="E9"/>
      <c r="F9"/>
      <c r="G9">
        <f>500</f>
        <v>500</v>
      </c>
      <c r="H9"/>
      <c r="I9"/>
      <c r="J9"/>
      <c r="K9"/>
      <c r="L9"/>
      <c r="M9">
        <f>800+200</f>
        <v>1000</v>
      </c>
      <c r="N9"/>
      <c r="O9"/>
      <c r="P9">
        <f>1000</f>
        <v>1000</v>
      </c>
      <c r="Q9"/>
      <c r="R9"/>
      <c r="S9">
        <f>250</f>
        <v>250</v>
      </c>
      <c r="T9"/>
      <c r="U9"/>
      <c r="V9"/>
      <c r="W9"/>
      <c r="X9"/>
      <c r="Y9"/>
      <c r="Z9"/>
      <c r="AA9"/>
      <c r="AB9"/>
      <c r="AC9"/>
      <c r="AD9"/>
      <c r="AE9"/>
      <c r="AF9" s="19">
        <f t="shared" si="1"/>
        <v>2880</v>
      </c>
      <c r="AG9" s="19">
        <v>3000</v>
      </c>
      <c r="AH9" s="24">
        <f t="shared" si="2"/>
        <v>0.96</v>
      </c>
    </row>
    <row r="10" spans="1:34" x14ac:dyDescent="0.25">
      <c r="A10" s="25" t="s">
        <v>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>
        <f>-1000</f>
        <v>-1000</v>
      </c>
      <c r="U10"/>
      <c r="V10"/>
      <c r="W10"/>
      <c r="X10"/>
      <c r="Y10"/>
      <c r="Z10"/>
      <c r="AA10"/>
      <c r="AB10"/>
      <c r="AC10"/>
      <c r="AD10"/>
      <c r="AE10"/>
      <c r="AF10" s="19">
        <f t="shared" si="1"/>
        <v>-1000</v>
      </c>
      <c r="AG10" s="19">
        <f>2000-1000</f>
        <v>1000</v>
      </c>
      <c r="AH10" s="24">
        <f t="shared" si="2"/>
        <v>-1</v>
      </c>
    </row>
    <row r="11" spans="1:34" x14ac:dyDescent="0.25">
      <c r="A11" s="25" t="s">
        <v>10</v>
      </c>
      <c r="B11">
        <f>142</f>
        <v>142</v>
      </c>
      <c r="C11">
        <f>56+389+320</f>
        <v>765</v>
      </c>
      <c r="D11">
        <f>83+262+435</f>
        <v>780</v>
      </c>
      <c r="E11">
        <f>25</f>
        <v>25</v>
      </c>
      <c r="F11"/>
      <c r="G11">
        <f>60+60+23+195</f>
        <v>338</v>
      </c>
      <c r="H11">
        <f>150+70+225</f>
        <v>445</v>
      </c>
      <c r="I11">
        <f>90</f>
        <v>90</v>
      </c>
      <c r="J11">
        <f>164+139</f>
        <v>303</v>
      </c>
      <c r="K11">
        <f>79+220</f>
        <v>299</v>
      </c>
      <c r="L11">
        <f>79</f>
        <v>79</v>
      </c>
      <c r="M11"/>
      <c r="N11">
        <f>79</f>
        <v>79</v>
      </c>
      <c r="O11">
        <f>79+114</f>
        <v>193</v>
      </c>
      <c r="P11">
        <f>285+120</f>
        <v>405</v>
      </c>
      <c r="Q11">
        <f>79+40</f>
        <v>119</v>
      </c>
      <c r="R11">
        <f>30+30</f>
        <v>60</v>
      </c>
      <c r="S11"/>
      <c r="T11"/>
      <c r="U11">
        <f>79</f>
        <v>79</v>
      </c>
      <c r="V11">
        <f>79</f>
        <v>79</v>
      </c>
      <c r="W11">
        <f>59</f>
        <v>59</v>
      </c>
      <c r="X11">
        <f>152+45+670</f>
        <v>867</v>
      </c>
      <c r="Y11">
        <f>98+199</f>
        <v>297</v>
      </c>
      <c r="Z11">
        <f>119</f>
        <v>119</v>
      </c>
      <c r="AB11"/>
      <c r="AC11">
        <f>224</f>
        <v>224</v>
      </c>
      <c r="AD11">
        <f>79+167</f>
        <v>246</v>
      </c>
      <c r="AE11">
        <f>119+82</f>
        <v>201</v>
      </c>
      <c r="AF11" s="19">
        <f t="shared" si="1"/>
        <v>6293</v>
      </c>
      <c r="AG11" s="19">
        <v>6000</v>
      </c>
      <c r="AH11" s="24">
        <f t="shared" si="2"/>
        <v>1.0488333333333333</v>
      </c>
    </row>
    <row r="12" spans="1:34" x14ac:dyDescent="0.25">
      <c r="A12" s="28" t="s">
        <v>11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>
        <f>509</f>
        <v>509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 s="19">
        <f t="shared" si="1"/>
        <v>509</v>
      </c>
      <c r="AG12" s="19">
        <v>1000</v>
      </c>
      <c r="AH12" s="24">
        <f t="shared" si="2"/>
        <v>0.50900000000000001</v>
      </c>
    </row>
    <row r="13" spans="1:34" s="31" customFormat="1" x14ac:dyDescent="0.25">
      <c r="A13" s="29" t="s">
        <v>12</v>
      </c>
      <c r="B13" s="30">
        <f t="shared" ref="B13:AE13" si="3">SUM(B2:B12)</f>
        <v>162</v>
      </c>
      <c r="C13" s="30">
        <f t="shared" si="3"/>
        <v>765</v>
      </c>
      <c r="D13" s="30">
        <f t="shared" si="3"/>
        <v>1418</v>
      </c>
      <c r="E13" s="30">
        <f t="shared" si="3"/>
        <v>115</v>
      </c>
      <c r="F13" s="30">
        <f t="shared" si="3"/>
        <v>13</v>
      </c>
      <c r="G13" s="30">
        <f t="shared" si="3"/>
        <v>838</v>
      </c>
      <c r="H13" s="30">
        <f t="shared" si="3"/>
        <v>495</v>
      </c>
      <c r="I13" s="30">
        <f t="shared" si="3"/>
        <v>120</v>
      </c>
      <c r="J13" s="30">
        <f t="shared" si="3"/>
        <v>303</v>
      </c>
      <c r="K13" s="30">
        <f t="shared" si="3"/>
        <v>299</v>
      </c>
      <c r="L13" s="30">
        <f t="shared" si="3"/>
        <v>952</v>
      </c>
      <c r="M13" s="30">
        <f t="shared" si="3"/>
        <v>1000</v>
      </c>
      <c r="N13" s="30">
        <f t="shared" si="3"/>
        <v>79</v>
      </c>
      <c r="O13" s="30">
        <f>SUM(O2:O12)</f>
        <v>1069</v>
      </c>
      <c r="P13" s="30">
        <f t="shared" si="3"/>
        <v>1755</v>
      </c>
      <c r="Q13" s="30">
        <f>SUM(Q3:Q12)</f>
        <v>928</v>
      </c>
      <c r="R13" s="30">
        <f t="shared" si="3"/>
        <v>60</v>
      </c>
      <c r="S13" s="30">
        <f t="shared" si="3"/>
        <v>2100</v>
      </c>
      <c r="T13" s="30">
        <f t="shared" si="3"/>
        <v>1210</v>
      </c>
      <c r="U13" s="30">
        <f t="shared" si="3"/>
        <v>79</v>
      </c>
      <c r="V13" s="30">
        <f t="shared" si="3"/>
        <v>79</v>
      </c>
      <c r="W13" s="30">
        <f t="shared" si="3"/>
        <v>59</v>
      </c>
      <c r="X13" s="30">
        <f t="shared" si="3"/>
        <v>867</v>
      </c>
      <c r="Y13" s="30">
        <f t="shared" si="3"/>
        <v>870</v>
      </c>
      <c r="Z13" s="30">
        <f t="shared" si="3"/>
        <v>119</v>
      </c>
      <c r="AA13" s="30">
        <f t="shared" si="3"/>
        <v>500</v>
      </c>
      <c r="AB13" s="30">
        <f t="shared" si="3"/>
        <v>0</v>
      </c>
      <c r="AC13" s="30">
        <f t="shared" si="3"/>
        <v>224</v>
      </c>
      <c r="AD13" s="30">
        <f t="shared" si="3"/>
        <v>1246</v>
      </c>
      <c r="AE13" s="30">
        <f t="shared" si="3"/>
        <v>201</v>
      </c>
      <c r="AF13" s="30">
        <f>SUM(AF2:AF12)</f>
        <v>17925</v>
      </c>
      <c r="AG13" s="30">
        <f>SUM(AG2:AG12)</f>
        <v>17200</v>
      </c>
      <c r="AH13" s="24">
        <f t="shared" si="2"/>
        <v>1.0421511627906976</v>
      </c>
    </row>
    <row r="14" spans="1:34" x14ac:dyDescent="0.25">
      <c r="A14" s="27"/>
    </row>
    <row r="15" spans="1:34" x14ac:dyDescent="0.25">
      <c r="A15" s="32" t="s">
        <v>14</v>
      </c>
    </row>
    <row r="16" spans="1:34" x14ac:dyDescent="0.25">
      <c r="A16" s="33">
        <f>AG13</f>
        <v>17200</v>
      </c>
      <c r="AF16" s="34"/>
    </row>
    <row r="17" spans="1:31" x14ac:dyDescent="0.25">
      <c r="A17" s="32" t="s">
        <v>15</v>
      </c>
    </row>
    <row r="18" spans="1:31" x14ac:dyDescent="0.25">
      <c r="A18" s="33">
        <f>AF13</f>
        <v>17925</v>
      </c>
    </row>
    <row r="19" spans="1:31" x14ac:dyDescent="0.25">
      <c r="A19" s="32" t="s">
        <v>16</v>
      </c>
    </row>
    <row r="20" spans="1:31" x14ac:dyDescent="0.25">
      <c r="A20" s="35">
        <f>A18/A16</f>
        <v>1.0421511627906976</v>
      </c>
    </row>
    <row r="21" spans="1:31" x14ac:dyDescent="0.25">
      <c r="A21" s="36"/>
    </row>
    <row r="22" spans="1:31" x14ac:dyDescent="0.25">
      <c r="B22" s="37">
        <f>($AG$13/COUNTA($B$13:$AE$13))*COUNT($B$13:B13)</f>
        <v>573.33333333333337</v>
      </c>
      <c r="C22" s="37">
        <f>($AG$13/COUNTA($B$13:$AE$13))*COUNT($B$13:C13)</f>
        <v>1146.6666666666667</v>
      </c>
      <c r="D22" s="37">
        <f>($AG$13/COUNTA($B$13:$AE$13))*COUNT($B$13:D13)</f>
        <v>1720</v>
      </c>
      <c r="E22" s="37">
        <f>($AG$13/COUNTA($B$13:$AE$13))*COUNT($B$13:E13)</f>
        <v>2293.3333333333335</v>
      </c>
      <c r="F22" s="37">
        <f>($AG$13/COUNTA($B$13:$AE$13))*COUNT($B$13:F13)</f>
        <v>2866.666666666667</v>
      </c>
      <c r="G22" s="37">
        <f>($AG$13/COUNTA($B$13:$AE$13))*COUNT($B$13:G13)</f>
        <v>3440</v>
      </c>
      <c r="H22" s="37">
        <f>($AG$13/COUNTA($B$13:$AE$13))*COUNT($B$13:H13)</f>
        <v>4013.3333333333335</v>
      </c>
      <c r="I22" s="37">
        <f>($AG$13/COUNTA($B$13:$AE$13))*COUNT($B$13:I13)</f>
        <v>4586.666666666667</v>
      </c>
      <c r="J22" s="37">
        <f>($AG$13/COUNTA($B$13:$AE$13))*COUNT($B$13:J13)</f>
        <v>5160</v>
      </c>
      <c r="K22" s="37">
        <f>($AG$13/COUNTA($B$13:$AE$13))*COUNT($B$13:K13)</f>
        <v>5733.3333333333339</v>
      </c>
      <c r="L22" s="37">
        <f>($AG$13/COUNTA($B$13:$AE$13))*COUNT($B$13:L13)</f>
        <v>6306.666666666667</v>
      </c>
      <c r="M22" s="37">
        <f>($AG$13/COUNTA($B$13:$AE$13))*COUNT($B$13:M13)</f>
        <v>6880</v>
      </c>
      <c r="N22" s="37">
        <f>($AG$13/COUNTA($B$13:$AE$13))*COUNT($B$13:N13)</f>
        <v>7453.3333333333339</v>
      </c>
      <c r="O22" s="37">
        <f>($AG$13/COUNTA($B$13:$AE$13))*COUNT($B$13:O13)</f>
        <v>8026.666666666667</v>
      </c>
      <c r="P22" s="37">
        <f>($AG$13/COUNTA($B$13:$AE$13))*COUNT($B$13:P13)</f>
        <v>8600</v>
      </c>
      <c r="Q22" s="37">
        <f>($AG$13/COUNTA($B$13:$AE$13))*COUNT($B$13:Q13)</f>
        <v>9173.3333333333339</v>
      </c>
      <c r="R22" s="37">
        <f>($AG$13/COUNTA($B$13:$AE$13))*COUNT($B$13:R13)</f>
        <v>9746.6666666666679</v>
      </c>
      <c r="S22" s="37">
        <f>($AG$13/COUNTA($B$13:$AE$13))*COUNT($B$13:S13)</f>
        <v>10320</v>
      </c>
      <c r="T22" s="37">
        <f>($AG$13/COUNTA($B$13:$AE$13))*COUNT($B$13:T13)</f>
        <v>10893.333333333334</v>
      </c>
      <c r="U22" s="37">
        <f>($AG$13/COUNTA($B$13:$AE$13))*COUNT($B$13:U13)</f>
        <v>11466.666666666668</v>
      </c>
      <c r="V22" s="37">
        <f>($AG$13/COUNTA($B$13:$AE$13))*COUNT($B$13:V13)</f>
        <v>12040</v>
      </c>
      <c r="W22" s="37">
        <f>($AG$13/COUNTA($B$13:$AE$13))*COUNT($B$13:W13)</f>
        <v>12613.333333333334</v>
      </c>
      <c r="X22" s="37">
        <f>($AG$13/COUNTA($B$13:$AE$13))*COUNT($B$13:X13)</f>
        <v>13186.666666666668</v>
      </c>
      <c r="Y22" s="37">
        <f>($AG$13/COUNTA($B$13:$AE$13))*COUNT($B$13:Y13)</f>
        <v>13760</v>
      </c>
      <c r="Z22" s="37">
        <f>($AG$13/COUNTA($B$13:$AE$13))*COUNT($B$13:Z13)</f>
        <v>14333.333333333334</v>
      </c>
      <c r="AA22" s="37">
        <f>($AG$13/COUNTA($B$13:$AE$13))*COUNT($B$13:AA13)</f>
        <v>14906.666666666668</v>
      </c>
      <c r="AB22" s="37">
        <f>($AG$13/COUNTA($B$13:$AE$13))*COUNT($B$13:AB13)</f>
        <v>15480.000000000002</v>
      </c>
      <c r="AC22" s="37">
        <f>($AG$13/COUNTA($B$13:$AE$13))*COUNT($B$13:AC13)</f>
        <v>16053.333333333334</v>
      </c>
      <c r="AD22" s="37">
        <f>($AG$13/COUNTA($B$13:$AE$13))*COUNT($B$13:AD13)</f>
        <v>16626.666666666668</v>
      </c>
      <c r="AE22" s="37">
        <f>($AG$13/COUNTA($B$13:$AE$13))*COUNT($B$13:AE13)</f>
        <v>17200</v>
      </c>
    </row>
    <row r="23" spans="1:31" x14ac:dyDescent="0.25">
      <c r="B23" s="38">
        <f>B13</f>
        <v>162</v>
      </c>
      <c r="C23" s="38">
        <f>B23+C13</f>
        <v>927</v>
      </c>
      <c r="D23" s="38">
        <f t="shared" ref="D23:AE23" si="4">C23+D13</f>
        <v>2345</v>
      </c>
      <c r="E23" s="38">
        <f t="shared" si="4"/>
        <v>2460</v>
      </c>
      <c r="F23" s="38">
        <f t="shared" si="4"/>
        <v>2473</v>
      </c>
      <c r="G23" s="38">
        <f t="shared" si="4"/>
        <v>3311</v>
      </c>
      <c r="H23" s="38">
        <f t="shared" si="4"/>
        <v>3806</v>
      </c>
      <c r="I23" s="38">
        <f t="shared" si="4"/>
        <v>3926</v>
      </c>
      <c r="J23" s="38">
        <f t="shared" si="4"/>
        <v>4229</v>
      </c>
      <c r="K23" s="38">
        <f t="shared" si="4"/>
        <v>4528</v>
      </c>
      <c r="L23" s="38">
        <f t="shared" si="4"/>
        <v>5480</v>
      </c>
      <c r="M23" s="38">
        <f t="shared" si="4"/>
        <v>6480</v>
      </c>
      <c r="N23" s="38">
        <f t="shared" si="4"/>
        <v>6559</v>
      </c>
      <c r="O23" s="38">
        <f t="shared" si="4"/>
        <v>7628</v>
      </c>
      <c r="P23" s="38">
        <f t="shared" si="4"/>
        <v>9383</v>
      </c>
      <c r="Q23" s="38">
        <f t="shared" si="4"/>
        <v>10311</v>
      </c>
      <c r="R23" s="38">
        <f t="shared" si="4"/>
        <v>10371</v>
      </c>
      <c r="S23" s="38">
        <f t="shared" si="4"/>
        <v>12471</v>
      </c>
      <c r="T23" s="38">
        <f t="shared" si="4"/>
        <v>13681</v>
      </c>
      <c r="U23" s="38">
        <f t="shared" si="4"/>
        <v>13760</v>
      </c>
      <c r="V23" s="38">
        <f t="shared" si="4"/>
        <v>13839</v>
      </c>
      <c r="W23" s="38">
        <f t="shared" si="4"/>
        <v>13898</v>
      </c>
      <c r="X23" s="38">
        <f t="shared" si="4"/>
        <v>14765</v>
      </c>
      <c r="Y23" s="38">
        <f t="shared" si="4"/>
        <v>15635</v>
      </c>
      <c r="Z23" s="38">
        <f t="shared" si="4"/>
        <v>15754</v>
      </c>
      <c r="AA23" s="38">
        <f t="shared" si="4"/>
        <v>16254</v>
      </c>
      <c r="AB23" s="38">
        <f t="shared" si="4"/>
        <v>16254</v>
      </c>
      <c r="AC23" s="38">
        <f t="shared" si="4"/>
        <v>16478</v>
      </c>
      <c r="AD23" s="38">
        <f t="shared" si="4"/>
        <v>17724</v>
      </c>
      <c r="AE23" s="38">
        <f t="shared" si="4"/>
        <v>17925</v>
      </c>
    </row>
  </sheetData>
  <conditionalFormatting sqref="AH2:AH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0" style="42" customWidth="1"/>
    <col min="2" max="2" width="9.5703125" style="42" bestFit="1" customWidth="1"/>
    <col min="3" max="32" width="9.85546875" style="42" customWidth="1"/>
    <col min="33" max="33" width="13.85546875" style="42" customWidth="1"/>
    <col min="34" max="34" width="13.28515625" style="42" customWidth="1"/>
    <col min="35" max="35" width="12.140625" style="42" customWidth="1"/>
    <col min="36" max="16384" width="9.140625" style="42"/>
  </cols>
  <sheetData>
    <row r="1" spans="1:35" x14ac:dyDescent="0.25">
      <c r="A1" s="39"/>
      <c r="B1" s="40">
        <v>43070</v>
      </c>
      <c r="C1" s="40">
        <f>B1+1</f>
        <v>43071</v>
      </c>
      <c r="D1" s="40">
        <f>C1+1</f>
        <v>43072</v>
      </c>
      <c r="E1" s="40">
        <f t="shared" ref="E1:AF1" si="0">D1+1</f>
        <v>43073</v>
      </c>
      <c r="F1" s="40">
        <f t="shared" si="0"/>
        <v>43074</v>
      </c>
      <c r="G1" s="40">
        <f t="shared" si="0"/>
        <v>43075</v>
      </c>
      <c r="H1" s="40">
        <f t="shared" si="0"/>
        <v>43076</v>
      </c>
      <c r="I1" s="40">
        <f t="shared" si="0"/>
        <v>43077</v>
      </c>
      <c r="J1" s="40">
        <f t="shared" si="0"/>
        <v>43078</v>
      </c>
      <c r="K1" s="40">
        <f t="shared" si="0"/>
        <v>43079</v>
      </c>
      <c r="L1" s="40">
        <f t="shared" si="0"/>
        <v>43080</v>
      </c>
      <c r="M1" s="40">
        <f t="shared" si="0"/>
        <v>43081</v>
      </c>
      <c r="N1" s="40">
        <f t="shared" si="0"/>
        <v>43082</v>
      </c>
      <c r="O1" s="40">
        <f t="shared" si="0"/>
        <v>43083</v>
      </c>
      <c r="P1" s="40">
        <f t="shared" si="0"/>
        <v>43084</v>
      </c>
      <c r="Q1" s="40">
        <f t="shared" si="0"/>
        <v>43085</v>
      </c>
      <c r="R1" s="40">
        <f t="shared" si="0"/>
        <v>43086</v>
      </c>
      <c r="S1" s="40">
        <f t="shared" si="0"/>
        <v>43087</v>
      </c>
      <c r="T1" s="40">
        <f t="shared" si="0"/>
        <v>43088</v>
      </c>
      <c r="U1" s="40">
        <f t="shared" si="0"/>
        <v>43089</v>
      </c>
      <c r="V1" s="40">
        <f t="shared" si="0"/>
        <v>43090</v>
      </c>
      <c r="W1" s="40">
        <f t="shared" si="0"/>
        <v>43091</v>
      </c>
      <c r="X1" s="40">
        <f t="shared" si="0"/>
        <v>43092</v>
      </c>
      <c r="Y1" s="40">
        <f t="shared" si="0"/>
        <v>43093</v>
      </c>
      <c r="Z1" s="40">
        <f t="shared" si="0"/>
        <v>43094</v>
      </c>
      <c r="AA1" s="40">
        <f t="shared" si="0"/>
        <v>43095</v>
      </c>
      <c r="AB1" s="40">
        <f t="shared" si="0"/>
        <v>43096</v>
      </c>
      <c r="AC1" s="40">
        <f t="shared" si="0"/>
        <v>43097</v>
      </c>
      <c r="AD1" s="40">
        <f t="shared" si="0"/>
        <v>43098</v>
      </c>
      <c r="AE1" s="40">
        <f t="shared" si="0"/>
        <v>43099</v>
      </c>
      <c r="AF1" s="40">
        <f t="shared" si="0"/>
        <v>43100</v>
      </c>
      <c r="AG1" s="41" t="s">
        <v>0</v>
      </c>
      <c r="AH1" s="41" t="s">
        <v>1</v>
      </c>
      <c r="AI1" s="41" t="s">
        <v>17</v>
      </c>
    </row>
    <row r="2" spans="1:35" x14ac:dyDescent="0.25">
      <c r="A2" s="43" t="s">
        <v>2</v>
      </c>
      <c r="E2" s="42">
        <f>1349+150</f>
        <v>1499</v>
      </c>
      <c r="G2" s="42">
        <v>260</v>
      </c>
      <c r="AG2" s="39">
        <f t="shared" ref="AG2:AG12" si="1">SUM(B2:AF2)</f>
        <v>1759</v>
      </c>
      <c r="AH2" s="39">
        <v>2000</v>
      </c>
      <c r="AI2" s="44">
        <f>IF(AH2=0,0,AG2/AH2)</f>
        <v>0.87949999999999995</v>
      </c>
    </row>
    <row r="3" spans="1:35" x14ac:dyDescent="0.25">
      <c r="A3" s="45" t="s">
        <v>3</v>
      </c>
      <c r="E3" s="42">
        <f>85</f>
        <v>85</v>
      </c>
      <c r="AG3" s="39">
        <f t="shared" si="1"/>
        <v>85</v>
      </c>
      <c r="AH3" s="39">
        <v>500</v>
      </c>
      <c r="AI3" s="44">
        <f t="shared" ref="AI3:AI13" si="2">IF(AH3=0,0,AG3/AH3)</f>
        <v>0.17</v>
      </c>
    </row>
    <row r="4" spans="1:35" x14ac:dyDescent="0.25">
      <c r="A4" s="45" t="s">
        <v>4</v>
      </c>
      <c r="C4" s="42">
        <f>1498+300</f>
        <v>1798</v>
      </c>
      <c r="D4" s="42">
        <f>555</f>
        <v>555</v>
      </c>
      <c r="G4" s="42">
        <f>300+69</f>
        <v>369</v>
      </c>
      <c r="AG4" s="39">
        <f t="shared" si="1"/>
        <v>2722</v>
      </c>
      <c r="AH4" s="39">
        <v>1000</v>
      </c>
      <c r="AI4" s="44">
        <f t="shared" si="2"/>
        <v>2.722</v>
      </c>
    </row>
    <row r="5" spans="1:35" x14ac:dyDescent="0.25">
      <c r="A5" s="45" t="s">
        <v>5</v>
      </c>
      <c r="I5" s="42">
        <f>6400</f>
        <v>6400</v>
      </c>
      <c r="J5" s="42">
        <f>7318+89</f>
        <v>7407</v>
      </c>
      <c r="L5" s="42">
        <f>1989</f>
        <v>1989</v>
      </c>
      <c r="P5" s="42">
        <f>1500+6122</f>
        <v>7622</v>
      </c>
      <c r="AG5" s="39">
        <f t="shared" si="1"/>
        <v>23418</v>
      </c>
      <c r="AH5" s="39">
        <v>2300</v>
      </c>
      <c r="AI5" s="44">
        <f t="shared" si="2"/>
        <v>10.181739130434783</v>
      </c>
    </row>
    <row r="6" spans="1:35" x14ac:dyDescent="0.25">
      <c r="A6" s="45" t="s">
        <v>13</v>
      </c>
      <c r="F6" s="42">
        <f>50</f>
        <v>50</v>
      </c>
      <c r="AG6" s="39">
        <f t="shared" si="1"/>
        <v>50</v>
      </c>
      <c r="AH6" s="39">
        <v>500</v>
      </c>
      <c r="AI6" s="44">
        <f t="shared" si="2"/>
        <v>0.1</v>
      </c>
    </row>
    <row r="7" spans="1:35" x14ac:dyDescent="0.25">
      <c r="A7" s="45" t="s">
        <v>6</v>
      </c>
      <c r="I7" s="46"/>
      <c r="P7" s="42">
        <f>100</f>
        <v>100</v>
      </c>
      <c r="AG7" s="39">
        <f t="shared" si="1"/>
        <v>100</v>
      </c>
      <c r="AH7" s="39">
        <v>200</v>
      </c>
      <c r="AI7" s="44">
        <f t="shared" si="2"/>
        <v>0.5</v>
      </c>
    </row>
    <row r="8" spans="1:35" x14ac:dyDescent="0.25">
      <c r="A8" s="45" t="s">
        <v>7</v>
      </c>
      <c r="AG8" s="39">
        <f t="shared" si="1"/>
        <v>0</v>
      </c>
      <c r="AH8" s="39">
        <v>2000</v>
      </c>
      <c r="AI8" s="44">
        <f t="shared" si="2"/>
        <v>0</v>
      </c>
    </row>
    <row r="9" spans="1:35" x14ac:dyDescent="0.25">
      <c r="A9" s="45" t="s">
        <v>8</v>
      </c>
      <c r="B9" s="42">
        <f>200+294</f>
        <v>494</v>
      </c>
      <c r="C9" s="42">
        <f>168</f>
        <v>168</v>
      </c>
      <c r="K9" s="42">
        <f>295</f>
        <v>295</v>
      </c>
      <c r="AG9" s="39">
        <f t="shared" si="1"/>
        <v>957</v>
      </c>
      <c r="AH9" s="39">
        <v>3000</v>
      </c>
      <c r="AI9" s="44">
        <f t="shared" si="2"/>
        <v>0.31900000000000001</v>
      </c>
    </row>
    <row r="10" spans="1:35" x14ac:dyDescent="0.25">
      <c r="A10" s="45" t="s">
        <v>9</v>
      </c>
      <c r="I10" s="46"/>
      <c r="AG10" s="39">
        <f t="shared" si="1"/>
        <v>0</v>
      </c>
      <c r="AH10" s="39">
        <f>2000-1000</f>
        <v>1000</v>
      </c>
      <c r="AI10" s="44">
        <f t="shared" si="2"/>
        <v>0</v>
      </c>
    </row>
    <row r="11" spans="1:35" x14ac:dyDescent="0.25">
      <c r="A11" s="45" t="s">
        <v>10</v>
      </c>
      <c r="B11" s="42">
        <f>110+225</f>
        <v>335</v>
      </c>
      <c r="D11" s="42">
        <f>230</f>
        <v>230</v>
      </c>
      <c r="E11" s="42">
        <f>79+60</f>
        <v>139</v>
      </c>
      <c r="F11" s="42">
        <f>85</f>
        <v>85</v>
      </c>
      <c r="G11" s="42">
        <f>150+79</f>
        <v>229</v>
      </c>
      <c r="H11" s="42">
        <f>79+150</f>
        <v>229</v>
      </c>
      <c r="I11" s="42">
        <f>141</f>
        <v>141</v>
      </c>
      <c r="J11" s="42">
        <f>232+476</f>
        <v>708</v>
      </c>
      <c r="K11" s="42">
        <f>90</f>
        <v>90</v>
      </c>
      <c r="L11" s="42">
        <f>217</f>
        <v>217</v>
      </c>
      <c r="N11" s="42">
        <f>121</f>
        <v>121</v>
      </c>
      <c r="O11" s="42">
        <f>300+90</f>
        <v>390</v>
      </c>
      <c r="AG11" s="39">
        <f t="shared" si="1"/>
        <v>2914</v>
      </c>
      <c r="AH11" s="39">
        <v>6000</v>
      </c>
      <c r="AI11" s="44">
        <f t="shared" si="2"/>
        <v>0.48566666666666669</v>
      </c>
    </row>
    <row r="12" spans="1:35" x14ac:dyDescent="0.25">
      <c r="A12" s="47" t="s">
        <v>11</v>
      </c>
      <c r="AG12" s="39">
        <f t="shared" si="1"/>
        <v>0</v>
      </c>
      <c r="AH12" s="39">
        <v>500</v>
      </c>
      <c r="AI12" s="44">
        <f t="shared" si="2"/>
        <v>0</v>
      </c>
    </row>
    <row r="13" spans="1:35" s="50" customFormat="1" x14ac:dyDescent="0.25">
      <c r="A13" s="48" t="s">
        <v>12</v>
      </c>
      <c r="B13" s="49">
        <f t="shared" ref="B13:AF13" si="3">SUM(B2:B12)</f>
        <v>829</v>
      </c>
      <c r="C13" s="49">
        <f t="shared" si="3"/>
        <v>1966</v>
      </c>
      <c r="D13" s="49">
        <f t="shared" si="3"/>
        <v>785</v>
      </c>
      <c r="E13" s="49">
        <f t="shared" si="3"/>
        <v>1723</v>
      </c>
      <c r="F13" s="49">
        <f t="shared" si="3"/>
        <v>135</v>
      </c>
      <c r="G13" s="49">
        <f t="shared" si="3"/>
        <v>858</v>
      </c>
      <c r="H13" s="49">
        <f t="shared" si="3"/>
        <v>229</v>
      </c>
      <c r="I13" s="49">
        <f t="shared" si="3"/>
        <v>6541</v>
      </c>
      <c r="J13" s="49">
        <f t="shared" si="3"/>
        <v>8115</v>
      </c>
      <c r="K13" s="49">
        <f t="shared" si="3"/>
        <v>385</v>
      </c>
      <c r="L13" s="49">
        <f t="shared" si="3"/>
        <v>2206</v>
      </c>
      <c r="M13" s="49">
        <f t="shared" si="3"/>
        <v>0</v>
      </c>
      <c r="N13" s="49">
        <f t="shared" si="3"/>
        <v>121</v>
      </c>
      <c r="O13" s="49">
        <f t="shared" si="3"/>
        <v>390</v>
      </c>
      <c r="P13" s="49">
        <f t="shared" si="3"/>
        <v>7722</v>
      </c>
      <c r="Q13" s="49">
        <f t="shared" si="3"/>
        <v>0</v>
      </c>
      <c r="R13" s="49">
        <f t="shared" si="3"/>
        <v>0</v>
      </c>
      <c r="S13" s="49">
        <f t="shared" si="3"/>
        <v>0</v>
      </c>
      <c r="T13" s="49">
        <f t="shared" si="3"/>
        <v>0</v>
      </c>
      <c r="U13" s="49">
        <f t="shared" si="3"/>
        <v>0</v>
      </c>
      <c r="V13" s="49">
        <f t="shared" si="3"/>
        <v>0</v>
      </c>
      <c r="W13" s="49">
        <f t="shared" si="3"/>
        <v>0</v>
      </c>
      <c r="X13" s="49">
        <f t="shared" si="3"/>
        <v>0</v>
      </c>
      <c r="Y13" s="49">
        <f t="shared" si="3"/>
        <v>0</v>
      </c>
      <c r="Z13" s="49">
        <f t="shared" si="3"/>
        <v>0</v>
      </c>
      <c r="AA13" s="49">
        <f t="shared" si="3"/>
        <v>0</v>
      </c>
      <c r="AB13" s="49">
        <f t="shared" si="3"/>
        <v>0</v>
      </c>
      <c r="AC13" s="49">
        <f t="shared" si="3"/>
        <v>0</v>
      </c>
      <c r="AD13" s="49">
        <f t="shared" si="3"/>
        <v>0</v>
      </c>
      <c r="AE13" s="49">
        <f t="shared" si="3"/>
        <v>0</v>
      </c>
      <c r="AF13" s="49">
        <f t="shared" si="3"/>
        <v>0</v>
      </c>
      <c r="AG13" s="49">
        <f>SUM(AG2:AG12)</f>
        <v>32005</v>
      </c>
      <c r="AH13" s="49">
        <f>SUM(AH2:AH12)</f>
        <v>19000</v>
      </c>
      <c r="AI13" s="44">
        <f t="shared" si="2"/>
        <v>1.6844736842105263</v>
      </c>
    </row>
    <row r="14" spans="1:35" x14ac:dyDescent="0.25">
      <c r="A14" s="46"/>
    </row>
    <row r="15" spans="1:35" x14ac:dyDescent="0.25">
      <c r="A15" s="51" t="s">
        <v>14</v>
      </c>
    </row>
    <row r="16" spans="1:35" x14ac:dyDescent="0.25">
      <c r="A16" s="52">
        <f>AH13</f>
        <v>19000</v>
      </c>
      <c r="AG16" s="53"/>
    </row>
    <row r="17" spans="1:32" x14ac:dyDescent="0.25">
      <c r="A17" s="51" t="s">
        <v>15</v>
      </c>
    </row>
    <row r="18" spans="1:32" x14ac:dyDescent="0.25">
      <c r="A18" s="52">
        <f>AG13</f>
        <v>32005</v>
      </c>
    </row>
    <row r="19" spans="1:32" x14ac:dyDescent="0.25">
      <c r="A19" s="51" t="s">
        <v>16</v>
      </c>
    </row>
    <row r="20" spans="1:32" x14ac:dyDescent="0.25">
      <c r="A20" s="54">
        <f>A18/A16</f>
        <v>1.6844736842105263</v>
      </c>
    </row>
    <row r="21" spans="1:32" x14ac:dyDescent="0.25">
      <c r="A21" s="55"/>
    </row>
    <row r="22" spans="1:32" x14ac:dyDescent="0.25">
      <c r="B22" s="56">
        <f>($AH$13/COUNTA($B$13:$AF$13))*COUNT($B$13:B13)</f>
        <v>612.90322580645159</v>
      </c>
      <c r="C22" s="56">
        <f>($AH$13/COUNTA($B$13:$AF$13))*COUNT($B$13:C13)</f>
        <v>1225.8064516129032</v>
      </c>
      <c r="D22" s="56">
        <f>($AH$13/COUNTA($B$13:$AF$13))*COUNT($B$13:D13)</f>
        <v>1838.7096774193546</v>
      </c>
      <c r="E22" s="56">
        <f>($AH$13/COUNTA($B$13:$AF$13))*COUNT($B$13:E13)</f>
        <v>2451.6129032258063</v>
      </c>
      <c r="F22" s="56">
        <f>($AH$13/COUNTA($B$13:$AF$13))*COUNT($B$13:F13)</f>
        <v>3064.516129032258</v>
      </c>
      <c r="G22" s="56">
        <f>($AH$13/COUNTA($B$13:$AF$13))*COUNT($B$13:G13)</f>
        <v>3677.4193548387093</v>
      </c>
      <c r="H22" s="56">
        <f>($AH$13/COUNTA($B$13:$AF$13))*COUNT($B$13:H13)</f>
        <v>4290.322580645161</v>
      </c>
      <c r="I22" s="56">
        <f>($AH$13/COUNTA($B$13:$AF$13))*COUNT($B$13:I13)</f>
        <v>4903.2258064516127</v>
      </c>
      <c r="J22" s="56">
        <f>($AH$13/COUNTA($B$13:$AF$13))*COUNT($B$13:J13)</f>
        <v>5516.1290322580644</v>
      </c>
      <c r="K22" s="56">
        <f>($AH$13/COUNTA($B$13:$AF$13))*COUNT($B$13:K13)</f>
        <v>6129.0322580645161</v>
      </c>
      <c r="L22" s="56">
        <f>($AH$13/COUNTA($B$13:$AF$13))*COUNT($B$13:L13)</f>
        <v>6741.9354838709678</v>
      </c>
      <c r="M22" s="56">
        <f>($AH$13/COUNTA($B$13:$AF$13))*COUNT($B$13:M13)</f>
        <v>7354.8387096774186</v>
      </c>
      <c r="N22" s="56">
        <f>($AH$13/COUNTA($B$13:$AF$13))*COUNT($B$13:N13)</f>
        <v>7967.7419354838703</v>
      </c>
      <c r="O22" s="56">
        <f>($AH$13/COUNTA($B$13:$AF$13))*COUNT($B$13:O13)</f>
        <v>8580.645161290322</v>
      </c>
      <c r="P22" s="56">
        <f>($AH$13/COUNTA($B$13:$AF$13))*COUNT($B$13:P13)</f>
        <v>9193.5483870967746</v>
      </c>
      <c r="Q22" s="56">
        <f>($AH$13/COUNTA($B$13:$AF$13))*COUNT($B$13:Q13)</f>
        <v>9806.4516129032254</v>
      </c>
      <c r="R22" s="56">
        <f>($AH$13/COUNTA($B$13:$AF$13))*COUNT($B$13:R13)</f>
        <v>10419.354838709676</v>
      </c>
      <c r="S22" s="56">
        <f>($AH$13/COUNTA($B$13:$AF$13))*COUNT($B$13:S13)</f>
        <v>11032.258064516129</v>
      </c>
      <c r="T22" s="56">
        <f>($AH$13/COUNTA($B$13:$AF$13))*COUNT($B$13:T13)</f>
        <v>11645.16129032258</v>
      </c>
      <c r="U22" s="56">
        <f>($AH$13/COUNTA($B$13:$AF$13))*COUNT($B$13:U13)</f>
        <v>12258.064516129032</v>
      </c>
      <c r="V22" s="56">
        <f>($AH$13/COUNTA($B$13:$AF$13))*COUNT($B$13:V13)</f>
        <v>12870.967741935483</v>
      </c>
      <c r="W22" s="56">
        <f>($AH$13/COUNTA($B$13:$AF$13))*COUNT($B$13:W13)</f>
        <v>13483.870967741936</v>
      </c>
      <c r="X22" s="56">
        <f>($AH$13/COUNTA($B$13:$AF$13))*COUNT($B$13:X13)</f>
        <v>14096.774193548386</v>
      </c>
      <c r="Y22" s="56">
        <f>($AH$13/COUNTA($B$13:$AF$13))*COUNT($B$13:Y13)</f>
        <v>14709.677419354837</v>
      </c>
      <c r="Z22" s="56">
        <f>($AH$13/COUNTA($B$13:$AF$13))*COUNT($B$13:Z13)</f>
        <v>15322.58064516129</v>
      </c>
      <c r="AA22" s="56">
        <f>($AH$13/COUNTA($B$13:$AF$13))*COUNT($B$13:AA13)</f>
        <v>15935.483870967741</v>
      </c>
      <c r="AB22" s="56">
        <f>($AH$13/COUNTA($B$13:$AF$13))*COUNT($B$13:AB13)</f>
        <v>16548.387096774193</v>
      </c>
      <c r="AC22" s="56">
        <f>($AH$13/COUNTA($B$13:$AF$13))*COUNT($B$13:AC13)</f>
        <v>17161.290322580644</v>
      </c>
      <c r="AD22" s="56">
        <f>($AH$13/COUNTA($B$13:$AF$13))*COUNT($B$13:AD13)</f>
        <v>17774.193548387095</v>
      </c>
      <c r="AE22" s="56">
        <f>($AH$13/COUNTA($B$13:$AF$13))*COUNT($B$13:AE13)</f>
        <v>18387.096774193549</v>
      </c>
      <c r="AF22" s="56">
        <f>($AH$13/COUNTA($B$13:$AF$13))*COUNT($B$13:AF13)</f>
        <v>19000</v>
      </c>
    </row>
    <row r="23" spans="1:32" x14ac:dyDescent="0.25">
      <c r="B23" s="57">
        <f>B13</f>
        <v>829</v>
      </c>
      <c r="C23" s="57">
        <f>B23+C13</f>
        <v>2795</v>
      </c>
      <c r="D23" s="57">
        <f t="shared" ref="D23:AF23" si="4">C23+D13</f>
        <v>3580</v>
      </c>
      <c r="E23" s="57">
        <f t="shared" si="4"/>
        <v>5303</v>
      </c>
      <c r="F23" s="57">
        <f t="shared" si="4"/>
        <v>5438</v>
      </c>
      <c r="G23" s="57">
        <f t="shared" si="4"/>
        <v>6296</v>
      </c>
      <c r="H23" s="57">
        <f t="shared" si="4"/>
        <v>6525</v>
      </c>
      <c r="I23" s="57">
        <f t="shared" si="4"/>
        <v>13066</v>
      </c>
      <c r="J23" s="57">
        <f t="shared" si="4"/>
        <v>21181</v>
      </c>
      <c r="K23" s="57">
        <f t="shared" si="4"/>
        <v>21566</v>
      </c>
      <c r="L23" s="57">
        <f t="shared" si="4"/>
        <v>23772</v>
      </c>
      <c r="M23" s="57">
        <f t="shared" si="4"/>
        <v>23772</v>
      </c>
      <c r="N23" s="57">
        <f t="shared" si="4"/>
        <v>23893</v>
      </c>
      <c r="O23" s="57">
        <f t="shared" si="4"/>
        <v>24283</v>
      </c>
      <c r="P23" s="57">
        <f t="shared" si="4"/>
        <v>32005</v>
      </c>
      <c r="Q23" s="57">
        <f t="shared" si="4"/>
        <v>32005</v>
      </c>
      <c r="R23" s="57">
        <f t="shared" si="4"/>
        <v>32005</v>
      </c>
      <c r="S23" s="57">
        <f t="shared" si="4"/>
        <v>32005</v>
      </c>
      <c r="T23" s="57">
        <f t="shared" si="4"/>
        <v>32005</v>
      </c>
      <c r="U23" s="57">
        <f t="shared" si="4"/>
        <v>32005</v>
      </c>
      <c r="V23" s="57">
        <f t="shared" si="4"/>
        <v>32005</v>
      </c>
      <c r="W23" s="57">
        <f t="shared" si="4"/>
        <v>32005</v>
      </c>
      <c r="X23" s="57">
        <f t="shared" si="4"/>
        <v>32005</v>
      </c>
      <c r="Y23" s="57">
        <f t="shared" si="4"/>
        <v>32005</v>
      </c>
      <c r="Z23" s="57">
        <f>Y23+Z13</f>
        <v>32005</v>
      </c>
      <c r="AA23" s="57">
        <f>Y23+AA13</f>
        <v>32005</v>
      </c>
      <c r="AB23" s="57">
        <f>Z23+AB13</f>
        <v>32005</v>
      </c>
      <c r="AC23" s="57">
        <f t="shared" si="4"/>
        <v>32005</v>
      </c>
      <c r="AD23" s="57">
        <f t="shared" si="4"/>
        <v>32005</v>
      </c>
      <c r="AE23" s="57">
        <f t="shared" si="4"/>
        <v>32005</v>
      </c>
      <c r="AF23" s="57">
        <f t="shared" si="4"/>
        <v>32005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"/>
  <sheetViews>
    <sheetView workbookViewId="0">
      <pane xSplit="1" topLeftCell="B1" activePane="topRight" state="frozen"/>
      <selection pane="topRight" activeCell="AD2" sqref="AD2"/>
    </sheetView>
  </sheetViews>
  <sheetFormatPr defaultRowHeight="15" x14ac:dyDescent="0.25"/>
  <cols>
    <col min="1" max="1" width="20" customWidth="1"/>
    <col min="3" max="29" width="9.85546875" customWidth="1"/>
    <col min="30" max="30" width="13.85546875" customWidth="1"/>
    <col min="31" max="31" width="13.28515625" customWidth="1"/>
    <col min="32" max="32" width="13.28515625" bestFit="1" customWidth="1"/>
  </cols>
  <sheetData>
    <row r="1" spans="1:32" x14ac:dyDescent="0.25">
      <c r="A1" s="4"/>
      <c r="B1" s="5">
        <v>42767</v>
      </c>
      <c r="C1" s="5">
        <f>B1+1</f>
        <v>42768</v>
      </c>
      <c r="D1" s="5">
        <f>C1+1</f>
        <v>42769</v>
      </c>
      <c r="E1" s="5">
        <f t="shared" ref="E1:AC1" si="0">D1+1</f>
        <v>42770</v>
      </c>
      <c r="F1" s="5">
        <f t="shared" si="0"/>
        <v>42771</v>
      </c>
      <c r="G1" s="5">
        <f t="shared" si="0"/>
        <v>42772</v>
      </c>
      <c r="H1" s="5">
        <f t="shared" si="0"/>
        <v>42773</v>
      </c>
      <c r="I1" s="5">
        <f t="shared" si="0"/>
        <v>42774</v>
      </c>
      <c r="J1" s="5">
        <f t="shared" si="0"/>
        <v>42775</v>
      </c>
      <c r="K1" s="5">
        <f t="shared" si="0"/>
        <v>42776</v>
      </c>
      <c r="L1" s="5">
        <f t="shared" si="0"/>
        <v>42777</v>
      </c>
      <c r="M1" s="5">
        <f t="shared" si="0"/>
        <v>42778</v>
      </c>
      <c r="N1" s="5">
        <f t="shared" si="0"/>
        <v>42779</v>
      </c>
      <c r="O1" s="5">
        <f t="shared" si="0"/>
        <v>42780</v>
      </c>
      <c r="P1" s="5">
        <f t="shared" si="0"/>
        <v>42781</v>
      </c>
      <c r="Q1" s="5">
        <f t="shared" si="0"/>
        <v>42782</v>
      </c>
      <c r="R1" s="5">
        <f t="shared" si="0"/>
        <v>42783</v>
      </c>
      <c r="S1" s="5">
        <f t="shared" si="0"/>
        <v>42784</v>
      </c>
      <c r="T1" s="5">
        <f t="shared" si="0"/>
        <v>42785</v>
      </c>
      <c r="U1" s="5">
        <f t="shared" si="0"/>
        <v>42786</v>
      </c>
      <c r="V1" s="5">
        <f t="shared" si="0"/>
        <v>42787</v>
      </c>
      <c r="W1" s="5">
        <f t="shared" si="0"/>
        <v>42788</v>
      </c>
      <c r="X1" s="5">
        <f t="shared" si="0"/>
        <v>42789</v>
      </c>
      <c r="Y1" s="5">
        <f t="shared" si="0"/>
        <v>42790</v>
      </c>
      <c r="Z1" s="5">
        <f t="shared" si="0"/>
        <v>42791</v>
      </c>
      <c r="AA1" s="5">
        <f t="shared" si="0"/>
        <v>42792</v>
      </c>
      <c r="AB1" s="5">
        <f t="shared" si="0"/>
        <v>42793</v>
      </c>
      <c r="AC1" s="5">
        <f t="shared" si="0"/>
        <v>42794</v>
      </c>
      <c r="AD1" s="3" t="s">
        <v>0</v>
      </c>
      <c r="AE1" s="3" t="s">
        <v>1</v>
      </c>
      <c r="AF1" s="3" t="s">
        <v>17</v>
      </c>
    </row>
    <row r="2" spans="1:32" x14ac:dyDescent="0.25">
      <c r="A2" s="10" t="s">
        <v>2</v>
      </c>
      <c r="T2">
        <f>400+211+36</f>
        <v>647</v>
      </c>
      <c r="Z2">
        <f>400+185</f>
        <v>585</v>
      </c>
      <c r="AD2" s="4">
        <f t="shared" ref="AD2:AD12" si="1">SUM(B2:AC2)</f>
        <v>1232</v>
      </c>
      <c r="AE2" s="4">
        <v>500</v>
      </c>
      <c r="AF2" s="16">
        <f>IF(AE2=0,0,AD2/AE2)</f>
        <v>2.464</v>
      </c>
    </row>
    <row r="3" spans="1:32" x14ac:dyDescent="0.25">
      <c r="A3" s="11" t="s">
        <v>3</v>
      </c>
      <c r="B3">
        <f>55</f>
        <v>55</v>
      </c>
      <c r="D3">
        <f>60</f>
        <v>60</v>
      </c>
      <c r="J3">
        <f>40</f>
        <v>40</v>
      </c>
      <c r="R3">
        <f>258</f>
        <v>258</v>
      </c>
      <c r="U3">
        <f>15</f>
        <v>15</v>
      </c>
      <c r="V3">
        <f>80</f>
        <v>80</v>
      </c>
      <c r="AA3">
        <f>50</f>
        <v>50</v>
      </c>
      <c r="AD3" s="4">
        <f t="shared" si="1"/>
        <v>558</v>
      </c>
      <c r="AE3" s="4">
        <v>500</v>
      </c>
      <c r="AF3" s="16">
        <f t="shared" ref="AF3:AF13" si="2">IF(AE3=0,0,AD3/AE3)</f>
        <v>1.1160000000000001</v>
      </c>
    </row>
    <row r="4" spans="1:32" x14ac:dyDescent="0.25">
      <c r="A4" s="11" t="s">
        <v>4</v>
      </c>
      <c r="F4">
        <f>110</f>
        <v>110</v>
      </c>
      <c r="L4">
        <f>326</f>
        <v>326</v>
      </c>
      <c r="S4">
        <f>809</f>
        <v>809</v>
      </c>
      <c r="V4">
        <f>80</f>
        <v>80</v>
      </c>
      <c r="AC4">
        <f>110</f>
        <v>110</v>
      </c>
      <c r="AD4" s="4">
        <f t="shared" si="1"/>
        <v>1435</v>
      </c>
      <c r="AE4" s="4">
        <v>1000</v>
      </c>
      <c r="AF4" s="16">
        <f t="shared" si="2"/>
        <v>1.4350000000000001</v>
      </c>
    </row>
    <row r="5" spans="1:32" x14ac:dyDescent="0.25">
      <c r="A5" s="11" t="s">
        <v>5</v>
      </c>
      <c r="E5">
        <f>100</f>
        <v>100</v>
      </c>
      <c r="O5">
        <f>500</f>
        <v>500</v>
      </c>
      <c r="AD5" s="4">
        <f t="shared" si="1"/>
        <v>600</v>
      </c>
      <c r="AE5" s="4">
        <v>1000</v>
      </c>
      <c r="AF5" s="16">
        <f t="shared" si="2"/>
        <v>0.6</v>
      </c>
    </row>
    <row r="6" spans="1:32" x14ac:dyDescent="0.25">
      <c r="A6" s="11" t="s">
        <v>13</v>
      </c>
      <c r="V6">
        <f>20</f>
        <v>20</v>
      </c>
      <c r="Z6">
        <f>20</f>
        <v>20</v>
      </c>
      <c r="AD6" s="4">
        <f t="shared" si="1"/>
        <v>40</v>
      </c>
      <c r="AE6" s="4">
        <v>500</v>
      </c>
      <c r="AF6" s="16">
        <f t="shared" si="2"/>
        <v>0.08</v>
      </c>
    </row>
    <row r="7" spans="1:32" x14ac:dyDescent="0.25">
      <c r="A7" s="11" t="s">
        <v>6</v>
      </c>
      <c r="I7" s="6"/>
      <c r="P7" s="6"/>
      <c r="AD7" s="4">
        <f t="shared" si="1"/>
        <v>0</v>
      </c>
      <c r="AE7" s="4">
        <v>500</v>
      </c>
      <c r="AF7" s="16">
        <f t="shared" si="2"/>
        <v>0</v>
      </c>
    </row>
    <row r="8" spans="1:32" x14ac:dyDescent="0.25">
      <c r="A8" s="11" t="s">
        <v>7</v>
      </c>
      <c r="AD8" s="4">
        <f t="shared" si="1"/>
        <v>0</v>
      </c>
      <c r="AE8" s="4">
        <v>0</v>
      </c>
      <c r="AF8" s="16">
        <f t="shared" si="2"/>
        <v>0</v>
      </c>
    </row>
    <row r="9" spans="1:32" x14ac:dyDescent="0.25">
      <c r="A9" s="11" t="s">
        <v>8</v>
      </c>
      <c r="E9">
        <f>330</f>
        <v>330</v>
      </c>
      <c r="F9">
        <f>200</f>
        <v>200</v>
      </c>
      <c r="K9">
        <f>20</f>
        <v>20</v>
      </c>
      <c r="R9">
        <f>300</f>
        <v>300</v>
      </c>
      <c r="V9">
        <f>220+50</f>
        <v>270</v>
      </c>
      <c r="AA9">
        <f>80</f>
        <v>80</v>
      </c>
      <c r="AD9" s="4">
        <f t="shared" si="1"/>
        <v>1200</v>
      </c>
      <c r="AE9" s="4">
        <v>1200</v>
      </c>
      <c r="AF9" s="16">
        <f t="shared" si="2"/>
        <v>1</v>
      </c>
    </row>
    <row r="10" spans="1:32" x14ac:dyDescent="0.25">
      <c r="A10" s="11" t="s">
        <v>9</v>
      </c>
      <c r="I10" s="6"/>
      <c r="S10">
        <f>679</f>
        <v>679</v>
      </c>
      <c r="U10">
        <f>-680</f>
        <v>-680</v>
      </c>
      <c r="AD10" s="4">
        <f t="shared" si="1"/>
        <v>-1</v>
      </c>
      <c r="AE10" s="4">
        <v>0</v>
      </c>
      <c r="AF10" s="16">
        <f t="shared" si="2"/>
        <v>0</v>
      </c>
    </row>
    <row r="11" spans="1:32" x14ac:dyDescent="0.25">
      <c r="A11" s="11" t="s">
        <v>10</v>
      </c>
      <c r="C11">
        <f>387</f>
        <v>387</v>
      </c>
      <c r="L11">
        <f>40</f>
        <v>40</v>
      </c>
      <c r="V11">
        <f>209</f>
        <v>209</v>
      </c>
      <c r="AD11" s="4">
        <f t="shared" si="1"/>
        <v>636</v>
      </c>
      <c r="AE11" s="4">
        <v>900</v>
      </c>
      <c r="AF11" s="16">
        <f t="shared" si="2"/>
        <v>0.70666666666666667</v>
      </c>
    </row>
    <row r="12" spans="1:32" x14ac:dyDescent="0.25">
      <c r="A12" s="12" t="s">
        <v>11</v>
      </c>
      <c r="H12">
        <f>433</f>
        <v>433</v>
      </c>
      <c r="O12">
        <f>450</f>
        <v>450</v>
      </c>
      <c r="AC12">
        <f>28+335</f>
        <v>363</v>
      </c>
      <c r="AD12" s="4">
        <f t="shared" si="1"/>
        <v>1246</v>
      </c>
      <c r="AE12" s="4">
        <v>500</v>
      </c>
      <c r="AF12" s="16">
        <f t="shared" si="2"/>
        <v>2.492</v>
      </c>
    </row>
    <row r="13" spans="1:32" s="2" customFormat="1" x14ac:dyDescent="0.25">
      <c r="A13" s="7" t="s">
        <v>12</v>
      </c>
      <c r="B13" s="8">
        <f t="shared" ref="B13:AC13" si="3">SUM(B2:B12)</f>
        <v>55</v>
      </c>
      <c r="C13" s="8">
        <f t="shared" si="3"/>
        <v>387</v>
      </c>
      <c r="D13" s="8">
        <f t="shared" si="3"/>
        <v>60</v>
      </c>
      <c r="E13" s="8">
        <f t="shared" si="3"/>
        <v>430</v>
      </c>
      <c r="F13" s="8">
        <f t="shared" si="3"/>
        <v>310</v>
      </c>
      <c r="G13" s="8">
        <f t="shared" si="3"/>
        <v>0</v>
      </c>
      <c r="H13" s="8">
        <f t="shared" si="3"/>
        <v>433</v>
      </c>
      <c r="I13" s="8">
        <f t="shared" si="3"/>
        <v>0</v>
      </c>
      <c r="J13" s="8">
        <f t="shared" si="3"/>
        <v>40</v>
      </c>
      <c r="K13" s="8">
        <f t="shared" si="3"/>
        <v>20</v>
      </c>
      <c r="L13" s="8">
        <f t="shared" si="3"/>
        <v>366</v>
      </c>
      <c r="M13" s="8">
        <f t="shared" si="3"/>
        <v>0</v>
      </c>
      <c r="N13" s="8">
        <f t="shared" si="3"/>
        <v>0</v>
      </c>
      <c r="O13" s="8">
        <f t="shared" si="3"/>
        <v>950</v>
      </c>
      <c r="P13" s="8">
        <f t="shared" si="3"/>
        <v>0</v>
      </c>
      <c r="Q13" s="8">
        <f t="shared" si="3"/>
        <v>0</v>
      </c>
      <c r="R13" s="8">
        <f t="shared" si="3"/>
        <v>558</v>
      </c>
      <c r="S13" s="8">
        <f t="shared" si="3"/>
        <v>1488</v>
      </c>
      <c r="T13" s="8">
        <f t="shared" si="3"/>
        <v>647</v>
      </c>
      <c r="U13" s="8">
        <f t="shared" si="3"/>
        <v>-665</v>
      </c>
      <c r="V13" s="8">
        <f t="shared" si="3"/>
        <v>659</v>
      </c>
      <c r="W13" s="8">
        <f t="shared" si="3"/>
        <v>0</v>
      </c>
      <c r="X13" s="8">
        <f t="shared" si="3"/>
        <v>0</v>
      </c>
      <c r="Y13" s="8">
        <f t="shared" si="3"/>
        <v>0</v>
      </c>
      <c r="Z13" s="8">
        <f t="shared" si="3"/>
        <v>605</v>
      </c>
      <c r="AA13" s="8">
        <f t="shared" si="3"/>
        <v>130</v>
      </c>
      <c r="AB13" s="8">
        <f t="shared" si="3"/>
        <v>0</v>
      </c>
      <c r="AC13" s="8">
        <f t="shared" si="3"/>
        <v>473</v>
      </c>
      <c r="AD13" s="8">
        <f>SUM(AD2:AD12)</f>
        <v>6946</v>
      </c>
      <c r="AE13" s="8">
        <f>SUM(AE2:AE12)</f>
        <v>6600</v>
      </c>
      <c r="AF13" s="16">
        <f t="shared" si="2"/>
        <v>1.0524242424242425</v>
      </c>
    </row>
    <row r="14" spans="1:32" x14ac:dyDescent="0.25">
      <c r="A14" s="6"/>
    </row>
    <row r="15" spans="1:32" x14ac:dyDescent="0.25">
      <c r="A15" s="13" t="s">
        <v>14</v>
      </c>
    </row>
    <row r="16" spans="1:32" x14ac:dyDescent="0.25">
      <c r="A16" s="14">
        <f>AE13</f>
        <v>6600</v>
      </c>
      <c r="AD16" s="9"/>
    </row>
    <row r="17" spans="1:1" x14ac:dyDescent="0.25">
      <c r="A17" s="13" t="s">
        <v>15</v>
      </c>
    </row>
    <row r="18" spans="1:1" x14ac:dyDescent="0.25">
      <c r="A18" s="14">
        <f>AD13</f>
        <v>6946</v>
      </c>
    </row>
    <row r="19" spans="1:1" x14ac:dyDescent="0.25">
      <c r="A19" s="13" t="s">
        <v>16</v>
      </c>
    </row>
    <row r="20" spans="1:1" x14ac:dyDescent="0.25">
      <c r="A20" s="15">
        <f>A18/A16</f>
        <v>1.0524242424242425</v>
      </c>
    </row>
  </sheetData>
  <conditionalFormatting sqref="AF2:AF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"/>
  <sheetViews>
    <sheetView workbookViewId="0">
      <pane xSplit="1" topLeftCell="B1" activePane="topRight" state="frozen"/>
      <selection pane="topRight" activeCell="AG2" sqref="AG2"/>
    </sheetView>
  </sheetViews>
  <sheetFormatPr defaultRowHeight="15" x14ac:dyDescent="0.25"/>
  <cols>
    <col min="1" max="1" width="20" customWidth="1"/>
    <col min="3" max="32" width="9.85546875" customWidth="1"/>
    <col min="33" max="33" width="13.85546875" customWidth="1"/>
    <col min="34" max="34" width="13.28515625" customWidth="1"/>
    <col min="35" max="35" width="12.140625" customWidth="1"/>
  </cols>
  <sheetData>
    <row r="1" spans="1:35" x14ac:dyDescent="0.25">
      <c r="A1" s="4"/>
      <c r="B1" s="17">
        <v>42795</v>
      </c>
      <c r="C1" s="17">
        <f>B1+1</f>
        <v>42796</v>
      </c>
      <c r="D1" s="17">
        <f>C1+1</f>
        <v>42797</v>
      </c>
      <c r="E1" s="17">
        <f t="shared" ref="E1:AF1" si="0">D1+1</f>
        <v>42798</v>
      </c>
      <c r="F1" s="17">
        <f t="shared" si="0"/>
        <v>42799</v>
      </c>
      <c r="G1" s="17">
        <f t="shared" si="0"/>
        <v>42800</v>
      </c>
      <c r="H1" s="17">
        <f t="shared" si="0"/>
        <v>42801</v>
      </c>
      <c r="I1" s="17">
        <f t="shared" si="0"/>
        <v>42802</v>
      </c>
      <c r="J1" s="17">
        <f t="shared" si="0"/>
        <v>42803</v>
      </c>
      <c r="K1" s="17">
        <f t="shared" si="0"/>
        <v>42804</v>
      </c>
      <c r="L1" s="17">
        <f t="shared" si="0"/>
        <v>42805</v>
      </c>
      <c r="M1" s="17">
        <f t="shared" si="0"/>
        <v>42806</v>
      </c>
      <c r="N1" s="17">
        <f t="shared" si="0"/>
        <v>42807</v>
      </c>
      <c r="O1" s="17">
        <f t="shared" si="0"/>
        <v>42808</v>
      </c>
      <c r="P1" s="17">
        <f t="shared" si="0"/>
        <v>42809</v>
      </c>
      <c r="Q1" s="17">
        <f t="shared" si="0"/>
        <v>42810</v>
      </c>
      <c r="R1" s="17">
        <f t="shared" si="0"/>
        <v>42811</v>
      </c>
      <c r="S1" s="17">
        <f t="shared" si="0"/>
        <v>42812</v>
      </c>
      <c r="T1" s="17">
        <f t="shared" si="0"/>
        <v>42813</v>
      </c>
      <c r="U1" s="17">
        <f t="shared" si="0"/>
        <v>42814</v>
      </c>
      <c r="V1" s="17">
        <f t="shared" si="0"/>
        <v>42815</v>
      </c>
      <c r="W1" s="17">
        <f t="shared" si="0"/>
        <v>42816</v>
      </c>
      <c r="X1" s="17">
        <f t="shared" si="0"/>
        <v>42817</v>
      </c>
      <c r="Y1" s="17">
        <f t="shared" si="0"/>
        <v>42818</v>
      </c>
      <c r="Z1" s="17">
        <f t="shared" si="0"/>
        <v>42819</v>
      </c>
      <c r="AA1" s="17">
        <f t="shared" si="0"/>
        <v>42820</v>
      </c>
      <c r="AB1" s="17">
        <f t="shared" si="0"/>
        <v>42821</v>
      </c>
      <c r="AC1" s="17">
        <f t="shared" si="0"/>
        <v>42822</v>
      </c>
      <c r="AD1" s="17">
        <f t="shared" si="0"/>
        <v>42823</v>
      </c>
      <c r="AE1" s="17">
        <f t="shared" si="0"/>
        <v>42824</v>
      </c>
      <c r="AF1" s="17">
        <f t="shared" si="0"/>
        <v>42825</v>
      </c>
      <c r="AG1" s="3" t="s">
        <v>0</v>
      </c>
      <c r="AH1" s="3" t="s">
        <v>1</v>
      </c>
      <c r="AI1" s="3" t="s">
        <v>17</v>
      </c>
    </row>
    <row r="2" spans="1:35" x14ac:dyDescent="0.25">
      <c r="A2" s="10" t="s">
        <v>2</v>
      </c>
      <c r="E2">
        <f>1070+400</f>
        <v>1470</v>
      </c>
      <c r="U2">
        <f>310</f>
        <v>310</v>
      </c>
      <c r="Y2">
        <f>3000</f>
        <v>3000</v>
      </c>
      <c r="AD2">
        <f>400+200</f>
        <v>600</v>
      </c>
      <c r="AE2">
        <f>100</f>
        <v>100</v>
      </c>
      <c r="AG2" s="4">
        <f t="shared" ref="AG2:AG12" si="1">SUM(B2:AF2)</f>
        <v>5480</v>
      </c>
      <c r="AH2" s="4">
        <v>700</v>
      </c>
      <c r="AI2" s="16">
        <f>IF(AH2=0,0,AG2/AH2)</f>
        <v>7.8285714285714283</v>
      </c>
    </row>
    <row r="3" spans="1:35" x14ac:dyDescent="0.25">
      <c r="A3" s="11" t="s">
        <v>3</v>
      </c>
      <c r="H3">
        <f>34</f>
        <v>34</v>
      </c>
      <c r="Q3">
        <f>20+50</f>
        <v>70</v>
      </c>
      <c r="W3">
        <f>294</f>
        <v>294</v>
      </c>
      <c r="Z3">
        <f>468</f>
        <v>468</v>
      </c>
      <c r="AG3" s="4">
        <f t="shared" si="1"/>
        <v>866</v>
      </c>
      <c r="AH3" s="4">
        <v>500</v>
      </c>
      <c r="AI3" s="16">
        <f t="shared" ref="AI3:AI13" si="2">IF(AH3=0,0,AG3/AH3)</f>
        <v>1.732</v>
      </c>
    </row>
    <row r="4" spans="1:35" x14ac:dyDescent="0.25">
      <c r="A4" s="11" t="s">
        <v>4</v>
      </c>
      <c r="F4">
        <f>550+550</f>
        <v>1100</v>
      </c>
      <c r="L4">
        <f>904</f>
        <v>904</v>
      </c>
      <c r="X4">
        <f>80</f>
        <v>80</v>
      </c>
      <c r="AG4" s="4">
        <f t="shared" si="1"/>
        <v>2084</v>
      </c>
      <c r="AH4" s="4">
        <v>1000</v>
      </c>
      <c r="AI4" s="16">
        <f t="shared" si="2"/>
        <v>2.0840000000000001</v>
      </c>
    </row>
    <row r="5" spans="1:35" x14ac:dyDescent="0.25">
      <c r="A5" s="11" t="s">
        <v>5</v>
      </c>
      <c r="AG5" s="4">
        <f t="shared" si="1"/>
        <v>0</v>
      </c>
      <c r="AH5" s="4">
        <v>1000</v>
      </c>
      <c r="AI5" s="16">
        <f t="shared" si="2"/>
        <v>0</v>
      </c>
    </row>
    <row r="6" spans="1:35" x14ac:dyDescent="0.25">
      <c r="A6" s="11" t="s">
        <v>13</v>
      </c>
      <c r="E6">
        <f>20</f>
        <v>20</v>
      </c>
      <c r="Y6">
        <f>100</f>
        <v>100</v>
      </c>
      <c r="AA6">
        <f>50</f>
        <v>50</v>
      </c>
      <c r="AG6" s="4">
        <f t="shared" si="1"/>
        <v>170</v>
      </c>
      <c r="AH6" s="4">
        <v>500</v>
      </c>
      <c r="AI6" s="16">
        <f t="shared" si="2"/>
        <v>0.34</v>
      </c>
    </row>
    <row r="7" spans="1:35" x14ac:dyDescent="0.25">
      <c r="A7" s="11" t="s">
        <v>6</v>
      </c>
      <c r="I7" s="6"/>
      <c r="P7" s="6"/>
      <c r="Y7">
        <f>200</f>
        <v>200</v>
      </c>
      <c r="AG7" s="4">
        <f t="shared" si="1"/>
        <v>200</v>
      </c>
      <c r="AH7" s="4">
        <v>500</v>
      </c>
      <c r="AI7" s="16">
        <f t="shared" si="2"/>
        <v>0.4</v>
      </c>
    </row>
    <row r="8" spans="1:35" x14ac:dyDescent="0.25">
      <c r="A8" s="11" t="s">
        <v>7</v>
      </c>
      <c r="AG8" s="4">
        <f t="shared" si="1"/>
        <v>0</v>
      </c>
      <c r="AH8" s="4">
        <v>0</v>
      </c>
      <c r="AI8" s="16">
        <f t="shared" si="2"/>
        <v>0</v>
      </c>
    </row>
    <row r="9" spans="1:35" x14ac:dyDescent="0.25">
      <c r="A9" s="11" t="s">
        <v>8</v>
      </c>
      <c r="E9">
        <f>270</f>
        <v>270</v>
      </c>
      <c r="F9">
        <f>200</f>
        <v>200</v>
      </c>
      <c r="X9">
        <f>290</f>
        <v>290</v>
      </c>
      <c r="AA9">
        <f>5</f>
        <v>5</v>
      </c>
      <c r="AD9">
        <f>150</f>
        <v>150</v>
      </c>
      <c r="AF9">
        <v>240</v>
      </c>
      <c r="AG9" s="4">
        <f t="shared" si="1"/>
        <v>1155</v>
      </c>
      <c r="AH9" s="4">
        <v>1200</v>
      </c>
      <c r="AI9" s="16">
        <f t="shared" si="2"/>
        <v>0.96250000000000002</v>
      </c>
    </row>
    <row r="10" spans="1:35" x14ac:dyDescent="0.25">
      <c r="A10" s="11" t="s">
        <v>9</v>
      </c>
      <c r="I10" s="6"/>
      <c r="T10">
        <f>-3000</f>
        <v>-3000</v>
      </c>
      <c r="AG10" s="4">
        <f t="shared" si="1"/>
        <v>-3000</v>
      </c>
      <c r="AH10" s="4">
        <v>0</v>
      </c>
      <c r="AI10" s="16">
        <f t="shared" si="2"/>
        <v>0</v>
      </c>
    </row>
    <row r="11" spans="1:35" x14ac:dyDescent="0.25">
      <c r="A11" s="11" t="s">
        <v>10</v>
      </c>
      <c r="Q11">
        <f>30+120</f>
        <v>150</v>
      </c>
      <c r="X11">
        <f>60</f>
        <v>60</v>
      </c>
      <c r="AG11" s="4">
        <f t="shared" si="1"/>
        <v>210</v>
      </c>
      <c r="AH11" s="4">
        <v>500</v>
      </c>
      <c r="AI11" s="16">
        <f t="shared" si="2"/>
        <v>0.42</v>
      </c>
    </row>
    <row r="12" spans="1:35" x14ac:dyDescent="0.25">
      <c r="A12" s="12" t="s">
        <v>11</v>
      </c>
      <c r="M12">
        <v>400</v>
      </c>
      <c r="AA12">
        <f>209</f>
        <v>209</v>
      </c>
      <c r="AD12">
        <f>380</f>
        <v>380</v>
      </c>
      <c r="AG12" s="4">
        <f t="shared" si="1"/>
        <v>989</v>
      </c>
      <c r="AH12" s="4">
        <v>1000</v>
      </c>
      <c r="AI12" s="16">
        <f t="shared" si="2"/>
        <v>0.98899999999999999</v>
      </c>
    </row>
    <row r="13" spans="1:35" s="2" customFormat="1" x14ac:dyDescent="0.25">
      <c r="A13" s="7" t="s">
        <v>12</v>
      </c>
      <c r="B13" s="8">
        <f t="shared" ref="B13:AF13" si="3">SUM(B2:B12)</f>
        <v>0</v>
      </c>
      <c r="C13" s="8">
        <f t="shared" si="3"/>
        <v>0</v>
      </c>
      <c r="D13" s="8">
        <f t="shared" si="3"/>
        <v>0</v>
      </c>
      <c r="E13" s="8">
        <f t="shared" si="3"/>
        <v>1760</v>
      </c>
      <c r="F13" s="8">
        <f t="shared" si="3"/>
        <v>1300</v>
      </c>
      <c r="G13" s="8">
        <f t="shared" si="3"/>
        <v>0</v>
      </c>
      <c r="H13" s="8">
        <f t="shared" si="3"/>
        <v>34</v>
      </c>
      <c r="I13" s="8">
        <f t="shared" si="3"/>
        <v>0</v>
      </c>
      <c r="J13" s="8">
        <f t="shared" si="3"/>
        <v>0</v>
      </c>
      <c r="K13" s="8">
        <f t="shared" si="3"/>
        <v>0</v>
      </c>
      <c r="L13" s="8">
        <f t="shared" si="3"/>
        <v>904</v>
      </c>
      <c r="M13" s="8">
        <f t="shared" si="3"/>
        <v>400</v>
      </c>
      <c r="N13" s="8">
        <f t="shared" si="3"/>
        <v>0</v>
      </c>
      <c r="O13" s="8">
        <f t="shared" si="3"/>
        <v>0</v>
      </c>
      <c r="P13" s="8">
        <f t="shared" si="3"/>
        <v>0</v>
      </c>
      <c r="Q13" s="8">
        <f t="shared" si="3"/>
        <v>220</v>
      </c>
      <c r="R13" s="8">
        <f t="shared" si="3"/>
        <v>0</v>
      </c>
      <c r="S13" s="8">
        <f t="shared" si="3"/>
        <v>0</v>
      </c>
      <c r="T13" s="8">
        <f t="shared" si="3"/>
        <v>-3000</v>
      </c>
      <c r="U13" s="8">
        <f t="shared" si="3"/>
        <v>310</v>
      </c>
      <c r="V13" s="8">
        <f t="shared" si="3"/>
        <v>0</v>
      </c>
      <c r="W13" s="8">
        <f t="shared" si="3"/>
        <v>294</v>
      </c>
      <c r="X13" s="8">
        <f t="shared" si="3"/>
        <v>430</v>
      </c>
      <c r="Y13" s="8">
        <f t="shared" si="3"/>
        <v>3300</v>
      </c>
      <c r="Z13" s="8">
        <f t="shared" si="3"/>
        <v>468</v>
      </c>
      <c r="AA13" s="8">
        <f t="shared" si="3"/>
        <v>264</v>
      </c>
      <c r="AB13" s="8">
        <f t="shared" si="3"/>
        <v>0</v>
      </c>
      <c r="AC13" s="8">
        <f t="shared" si="3"/>
        <v>0</v>
      </c>
      <c r="AD13" s="8">
        <f t="shared" si="3"/>
        <v>1130</v>
      </c>
      <c r="AE13" s="8">
        <f t="shared" si="3"/>
        <v>100</v>
      </c>
      <c r="AF13" s="8">
        <f t="shared" si="3"/>
        <v>240</v>
      </c>
      <c r="AG13" s="8">
        <f>SUM(AG2:AG12)</f>
        <v>8154</v>
      </c>
      <c r="AH13" s="8">
        <f>SUM(AH2:AH12)</f>
        <v>6900</v>
      </c>
      <c r="AI13" s="16">
        <f t="shared" si="2"/>
        <v>1.1817391304347826</v>
      </c>
    </row>
    <row r="14" spans="1:35" x14ac:dyDescent="0.25">
      <c r="A14" s="6"/>
    </row>
    <row r="15" spans="1:35" x14ac:dyDescent="0.25">
      <c r="A15" s="13" t="s">
        <v>14</v>
      </c>
    </row>
    <row r="16" spans="1:35" x14ac:dyDescent="0.25">
      <c r="A16" s="14">
        <f>AH13</f>
        <v>6900</v>
      </c>
      <c r="AG16" s="9"/>
    </row>
    <row r="17" spans="1:1" x14ac:dyDescent="0.25">
      <c r="A17" s="13" t="s">
        <v>15</v>
      </c>
    </row>
    <row r="18" spans="1:1" x14ac:dyDescent="0.25">
      <c r="A18" s="14">
        <f>AG13</f>
        <v>8154</v>
      </c>
    </row>
    <row r="19" spans="1:1" x14ac:dyDescent="0.25">
      <c r="A19" s="13" t="s">
        <v>16</v>
      </c>
    </row>
    <row r="20" spans="1:1" x14ac:dyDescent="0.25">
      <c r="A20" s="15">
        <f>A18/A16</f>
        <v>1.1817391304347826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"/>
  <sheetViews>
    <sheetView workbookViewId="0">
      <pane xSplit="1" topLeftCell="S1" activePane="topRight" state="frozen"/>
      <selection pane="topRight" activeCell="AF2" sqref="AF2"/>
    </sheetView>
  </sheetViews>
  <sheetFormatPr defaultRowHeight="15" x14ac:dyDescent="0.25"/>
  <cols>
    <col min="1" max="1" width="20" customWidth="1"/>
    <col min="3" max="31" width="9.85546875" customWidth="1"/>
    <col min="32" max="32" width="13.85546875" customWidth="1"/>
    <col min="33" max="33" width="13.28515625" customWidth="1"/>
    <col min="34" max="34" width="12.140625" customWidth="1"/>
  </cols>
  <sheetData>
    <row r="1" spans="1:37" x14ac:dyDescent="0.25">
      <c r="A1" s="4"/>
      <c r="B1" s="17">
        <v>42826</v>
      </c>
      <c r="C1" s="17">
        <f>B1+1</f>
        <v>42827</v>
      </c>
      <c r="D1" s="17">
        <f>C1+1</f>
        <v>42828</v>
      </c>
      <c r="E1" s="17">
        <f t="shared" ref="E1:AE1" si="0">D1+1</f>
        <v>42829</v>
      </c>
      <c r="F1" s="17">
        <f t="shared" si="0"/>
        <v>42830</v>
      </c>
      <c r="G1" s="17">
        <f t="shared" si="0"/>
        <v>42831</v>
      </c>
      <c r="H1" s="17">
        <f t="shared" si="0"/>
        <v>42832</v>
      </c>
      <c r="I1" s="17">
        <f t="shared" si="0"/>
        <v>42833</v>
      </c>
      <c r="J1" s="17">
        <f t="shared" si="0"/>
        <v>42834</v>
      </c>
      <c r="K1" s="17">
        <f t="shared" si="0"/>
        <v>42835</v>
      </c>
      <c r="L1" s="17">
        <f t="shared" si="0"/>
        <v>42836</v>
      </c>
      <c r="M1" s="17">
        <f t="shared" si="0"/>
        <v>42837</v>
      </c>
      <c r="N1" s="17">
        <f t="shared" si="0"/>
        <v>42838</v>
      </c>
      <c r="O1" s="17">
        <f t="shared" si="0"/>
        <v>42839</v>
      </c>
      <c r="P1" s="17">
        <f t="shared" si="0"/>
        <v>42840</v>
      </c>
      <c r="Q1" s="17">
        <f t="shared" si="0"/>
        <v>42841</v>
      </c>
      <c r="R1" s="17">
        <f t="shared" si="0"/>
        <v>42842</v>
      </c>
      <c r="S1" s="17">
        <f t="shared" si="0"/>
        <v>42843</v>
      </c>
      <c r="T1" s="17">
        <f t="shared" si="0"/>
        <v>42844</v>
      </c>
      <c r="U1" s="17">
        <f t="shared" si="0"/>
        <v>42845</v>
      </c>
      <c r="V1" s="17">
        <f t="shared" si="0"/>
        <v>42846</v>
      </c>
      <c r="W1" s="17">
        <f t="shared" si="0"/>
        <v>42847</v>
      </c>
      <c r="X1" s="17">
        <f t="shared" si="0"/>
        <v>42848</v>
      </c>
      <c r="Y1" s="17">
        <f t="shared" si="0"/>
        <v>42849</v>
      </c>
      <c r="Z1" s="17">
        <f t="shared" si="0"/>
        <v>42850</v>
      </c>
      <c r="AA1" s="17">
        <f t="shared" si="0"/>
        <v>42851</v>
      </c>
      <c r="AB1" s="17">
        <f t="shared" si="0"/>
        <v>42852</v>
      </c>
      <c r="AC1" s="17">
        <f t="shared" si="0"/>
        <v>42853</v>
      </c>
      <c r="AD1" s="17">
        <f t="shared" si="0"/>
        <v>42854</v>
      </c>
      <c r="AE1" s="17">
        <f t="shared" si="0"/>
        <v>42855</v>
      </c>
      <c r="AF1" s="3" t="s">
        <v>0</v>
      </c>
      <c r="AG1" s="3" t="s">
        <v>1</v>
      </c>
      <c r="AH1" s="3" t="s">
        <v>17</v>
      </c>
    </row>
    <row r="2" spans="1:37" x14ac:dyDescent="0.25">
      <c r="A2" s="10" t="s">
        <v>2</v>
      </c>
      <c r="G2">
        <f>435</f>
        <v>435</v>
      </c>
      <c r="I2">
        <f>100</f>
        <v>100</v>
      </c>
      <c r="K2">
        <f>70</f>
        <v>70</v>
      </c>
      <c r="L2">
        <f>200</f>
        <v>200</v>
      </c>
      <c r="N2">
        <f>1200</f>
        <v>1200</v>
      </c>
      <c r="AC2">
        <f>490</f>
        <v>490</v>
      </c>
      <c r="AE2">
        <f>215</f>
        <v>215</v>
      </c>
      <c r="AF2" s="4">
        <f t="shared" ref="AF2:AF12" si="1">SUM(B2:AE2)</f>
        <v>2710</v>
      </c>
      <c r="AG2" s="4">
        <v>1000</v>
      </c>
      <c r="AH2" s="16">
        <f>IF(AG2=0,0,AF2/AG2)</f>
        <v>2.71</v>
      </c>
      <c r="AK2" s="1"/>
    </row>
    <row r="3" spans="1:37" x14ac:dyDescent="0.25">
      <c r="A3" s="11" t="s">
        <v>3</v>
      </c>
      <c r="D3">
        <f>278</f>
        <v>278</v>
      </c>
      <c r="E3">
        <f>275</f>
        <v>275</v>
      </c>
      <c r="N3">
        <f>419</f>
        <v>419</v>
      </c>
      <c r="Q3">
        <f>10+20</f>
        <v>30</v>
      </c>
      <c r="Y3">
        <f>290</f>
        <v>290</v>
      </c>
      <c r="AA3">
        <f>15+10</f>
        <v>25</v>
      </c>
      <c r="AC3">
        <f>310</f>
        <v>310</v>
      </c>
      <c r="AF3" s="4">
        <f t="shared" si="1"/>
        <v>1627</v>
      </c>
      <c r="AG3" s="4">
        <v>500</v>
      </c>
      <c r="AH3" s="16">
        <f t="shared" ref="AH3:AH13" si="2">IF(AG3=0,0,AF3/AG3)</f>
        <v>3.254</v>
      </c>
      <c r="AK3" s="1"/>
    </row>
    <row r="4" spans="1:37" x14ac:dyDescent="0.25">
      <c r="A4" s="11" t="s">
        <v>4</v>
      </c>
      <c r="C4">
        <f>878</f>
        <v>878</v>
      </c>
      <c r="I4">
        <f>1688</f>
        <v>1688</v>
      </c>
      <c r="P4">
        <f>264</f>
        <v>264</v>
      </c>
      <c r="AF4" s="4">
        <f t="shared" si="1"/>
        <v>2830</v>
      </c>
      <c r="AG4" s="4">
        <v>500</v>
      </c>
      <c r="AH4" s="16">
        <f t="shared" si="2"/>
        <v>5.66</v>
      </c>
      <c r="AK4" s="1"/>
    </row>
    <row r="5" spans="1:37" x14ac:dyDescent="0.25">
      <c r="A5" s="11" t="s">
        <v>5</v>
      </c>
      <c r="B5">
        <f>198</f>
        <v>198</v>
      </c>
      <c r="R5">
        <f>10</f>
        <v>10</v>
      </c>
      <c r="AA5">
        <f>141</f>
        <v>141</v>
      </c>
      <c r="AF5" s="4">
        <f t="shared" si="1"/>
        <v>349</v>
      </c>
      <c r="AG5" s="4">
        <v>1000</v>
      </c>
      <c r="AH5" s="16">
        <f t="shared" si="2"/>
        <v>0.34899999999999998</v>
      </c>
      <c r="AK5" s="1"/>
    </row>
    <row r="6" spans="1:37" x14ac:dyDescent="0.25">
      <c r="A6" s="11" t="s">
        <v>13</v>
      </c>
      <c r="F6">
        <f>30</f>
        <v>30</v>
      </c>
      <c r="J6">
        <f>20</f>
        <v>20</v>
      </c>
      <c r="L6">
        <f>20+690</f>
        <v>710</v>
      </c>
      <c r="O6">
        <f>1100+1100</f>
        <v>2200</v>
      </c>
      <c r="Q6">
        <f>10</f>
        <v>10</v>
      </c>
      <c r="AF6" s="4">
        <f t="shared" si="1"/>
        <v>2970</v>
      </c>
      <c r="AG6" s="4">
        <v>10000</v>
      </c>
      <c r="AH6" s="16">
        <f t="shared" si="2"/>
        <v>0.29699999999999999</v>
      </c>
      <c r="AK6" s="1"/>
    </row>
    <row r="7" spans="1:37" x14ac:dyDescent="0.25">
      <c r="A7" s="11" t="s">
        <v>6</v>
      </c>
      <c r="E7">
        <f>270</f>
        <v>270</v>
      </c>
      <c r="I7" s="6"/>
      <c r="P7" s="6"/>
      <c r="AF7" s="4">
        <f t="shared" si="1"/>
        <v>270</v>
      </c>
      <c r="AG7" s="4">
        <v>0</v>
      </c>
      <c r="AH7" s="16">
        <f t="shared" si="2"/>
        <v>0</v>
      </c>
      <c r="AK7" s="1"/>
    </row>
    <row r="8" spans="1:37" x14ac:dyDescent="0.25">
      <c r="A8" s="11" t="s">
        <v>7</v>
      </c>
      <c r="AF8" s="4">
        <f t="shared" si="1"/>
        <v>0</v>
      </c>
      <c r="AG8" s="4">
        <v>0</v>
      </c>
      <c r="AH8" s="16">
        <f t="shared" si="2"/>
        <v>0</v>
      </c>
      <c r="AK8" s="1"/>
    </row>
    <row r="9" spans="1:37" x14ac:dyDescent="0.25">
      <c r="A9" s="11" t="s">
        <v>8</v>
      </c>
      <c r="C9">
        <f>200</f>
        <v>200</v>
      </c>
      <c r="F9">
        <f>20+240+240</f>
        <v>500</v>
      </c>
      <c r="L9">
        <f>20</f>
        <v>20</v>
      </c>
      <c r="M9">
        <f>20</f>
        <v>20</v>
      </c>
      <c r="N9">
        <f>20</f>
        <v>20</v>
      </c>
      <c r="X9">
        <f>50</f>
        <v>50</v>
      </c>
      <c r="AA9">
        <f>100</f>
        <v>100</v>
      </c>
      <c r="AE9">
        <f>290</f>
        <v>290</v>
      </c>
      <c r="AF9" s="4">
        <f t="shared" si="1"/>
        <v>1200</v>
      </c>
      <c r="AG9" s="4">
        <v>1000</v>
      </c>
      <c r="AH9" s="16">
        <f t="shared" si="2"/>
        <v>1.2</v>
      </c>
      <c r="AK9" s="1"/>
    </row>
    <row r="10" spans="1:37" x14ac:dyDescent="0.25">
      <c r="A10" s="11" t="s">
        <v>9</v>
      </c>
      <c r="D10">
        <f>-500</f>
        <v>-500</v>
      </c>
      <c r="I10" s="6"/>
      <c r="L10">
        <f>500</f>
        <v>500</v>
      </c>
      <c r="AF10" s="4">
        <f t="shared" si="1"/>
        <v>0</v>
      </c>
      <c r="AG10" s="4">
        <v>-3000</v>
      </c>
      <c r="AH10" s="16">
        <f t="shared" si="2"/>
        <v>0</v>
      </c>
      <c r="AK10" s="1"/>
    </row>
    <row r="11" spans="1:37" x14ac:dyDescent="0.25">
      <c r="A11" s="11" t="s">
        <v>10</v>
      </c>
      <c r="G11">
        <f>50</f>
        <v>50</v>
      </c>
      <c r="H11">
        <f>385</f>
        <v>385</v>
      </c>
      <c r="I11">
        <f>289</f>
        <v>289</v>
      </c>
      <c r="J11">
        <f>85</f>
        <v>85</v>
      </c>
      <c r="K11">
        <f>50</f>
        <v>50</v>
      </c>
      <c r="Q11">
        <f>10</f>
        <v>10</v>
      </c>
      <c r="AB11">
        <f>836</f>
        <v>836</v>
      </c>
      <c r="AF11" s="4">
        <f t="shared" si="1"/>
        <v>1705</v>
      </c>
      <c r="AG11" s="4">
        <v>500</v>
      </c>
      <c r="AH11" s="16">
        <f t="shared" si="2"/>
        <v>3.41</v>
      </c>
      <c r="AK11" s="1"/>
    </row>
    <row r="12" spans="1:37" x14ac:dyDescent="0.25">
      <c r="A12" s="12" t="s">
        <v>11</v>
      </c>
      <c r="I12">
        <f>365</f>
        <v>365</v>
      </c>
      <c r="AF12" s="4">
        <f t="shared" si="1"/>
        <v>365</v>
      </c>
      <c r="AG12" s="4">
        <v>5000</v>
      </c>
      <c r="AH12" s="16">
        <f t="shared" si="2"/>
        <v>7.2999999999999995E-2</v>
      </c>
      <c r="AK12" s="1"/>
    </row>
    <row r="13" spans="1:37" s="2" customFormat="1" x14ac:dyDescent="0.25">
      <c r="A13" s="7" t="s">
        <v>12</v>
      </c>
      <c r="B13" s="8">
        <f t="shared" ref="B13:AE13" si="3">SUM(B2:B12)</f>
        <v>198</v>
      </c>
      <c r="C13" s="8">
        <f t="shared" si="3"/>
        <v>1078</v>
      </c>
      <c r="D13" s="8">
        <f t="shared" si="3"/>
        <v>-222</v>
      </c>
      <c r="E13" s="8">
        <f t="shared" si="3"/>
        <v>545</v>
      </c>
      <c r="F13" s="8">
        <f t="shared" si="3"/>
        <v>530</v>
      </c>
      <c r="G13" s="8">
        <f t="shared" si="3"/>
        <v>485</v>
      </c>
      <c r="H13" s="8">
        <f t="shared" si="3"/>
        <v>385</v>
      </c>
      <c r="I13" s="8">
        <f t="shared" si="3"/>
        <v>2442</v>
      </c>
      <c r="J13" s="8">
        <f t="shared" si="3"/>
        <v>105</v>
      </c>
      <c r="K13" s="8">
        <f t="shared" si="3"/>
        <v>120</v>
      </c>
      <c r="L13" s="8">
        <f t="shared" si="3"/>
        <v>1430</v>
      </c>
      <c r="M13" s="8">
        <f t="shared" si="3"/>
        <v>20</v>
      </c>
      <c r="N13" s="8">
        <f t="shared" si="3"/>
        <v>1639</v>
      </c>
      <c r="O13" s="8">
        <f t="shared" si="3"/>
        <v>2200</v>
      </c>
      <c r="P13" s="8">
        <f t="shared" si="3"/>
        <v>264</v>
      </c>
      <c r="Q13" s="8">
        <f t="shared" si="3"/>
        <v>50</v>
      </c>
      <c r="R13" s="8">
        <f t="shared" si="3"/>
        <v>10</v>
      </c>
      <c r="S13" s="8">
        <f t="shared" si="3"/>
        <v>0</v>
      </c>
      <c r="T13" s="8">
        <f t="shared" si="3"/>
        <v>0</v>
      </c>
      <c r="U13" s="8">
        <f t="shared" si="3"/>
        <v>0</v>
      </c>
      <c r="V13" s="8">
        <f t="shared" si="3"/>
        <v>0</v>
      </c>
      <c r="W13" s="8">
        <f t="shared" si="3"/>
        <v>0</v>
      </c>
      <c r="X13" s="8">
        <f t="shared" si="3"/>
        <v>50</v>
      </c>
      <c r="Y13" s="8">
        <f t="shared" si="3"/>
        <v>290</v>
      </c>
      <c r="Z13" s="8">
        <f t="shared" si="3"/>
        <v>0</v>
      </c>
      <c r="AA13" s="8">
        <f t="shared" si="3"/>
        <v>266</v>
      </c>
      <c r="AB13" s="8">
        <f t="shared" si="3"/>
        <v>836</v>
      </c>
      <c r="AC13" s="8">
        <f t="shared" si="3"/>
        <v>800</v>
      </c>
      <c r="AD13" s="8">
        <f t="shared" si="3"/>
        <v>0</v>
      </c>
      <c r="AE13" s="8">
        <f t="shared" si="3"/>
        <v>505</v>
      </c>
      <c r="AF13" s="8">
        <f>SUM(AF2:AF12)</f>
        <v>14026</v>
      </c>
      <c r="AG13" s="8">
        <f>SUM(AG2:AG12)</f>
        <v>16500</v>
      </c>
      <c r="AH13" s="16">
        <f t="shared" si="2"/>
        <v>0.85006060606060607</v>
      </c>
    </row>
    <row r="14" spans="1:37" x14ac:dyDescent="0.25">
      <c r="A14" s="6"/>
    </row>
    <row r="15" spans="1:37" x14ac:dyDescent="0.25">
      <c r="A15" s="13" t="s">
        <v>14</v>
      </c>
    </row>
    <row r="16" spans="1:37" x14ac:dyDescent="0.25">
      <c r="A16" s="14">
        <f>AG13</f>
        <v>16500</v>
      </c>
      <c r="AF16" s="9"/>
    </row>
    <row r="17" spans="1:1" x14ac:dyDescent="0.25">
      <c r="A17" s="13" t="s">
        <v>15</v>
      </c>
    </row>
    <row r="18" spans="1:1" x14ac:dyDescent="0.25">
      <c r="A18" s="14">
        <f>AF13</f>
        <v>14026</v>
      </c>
    </row>
    <row r="19" spans="1:1" x14ac:dyDescent="0.25">
      <c r="A19" s="13" t="s">
        <v>16</v>
      </c>
    </row>
    <row r="20" spans="1:1" x14ac:dyDescent="0.25">
      <c r="A20" s="15">
        <f>A18/A16</f>
        <v>0.85006060606060607</v>
      </c>
    </row>
  </sheetData>
  <conditionalFormatting sqref="AH2:AH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0"/>
  <sheetViews>
    <sheetView workbookViewId="0">
      <pane xSplit="1" topLeftCell="T1" activePane="topRight" state="frozen"/>
      <selection pane="topRight" activeCell="AA10" sqref="AA10"/>
    </sheetView>
  </sheetViews>
  <sheetFormatPr defaultRowHeight="15" x14ac:dyDescent="0.25"/>
  <cols>
    <col min="1" max="1" width="20" customWidth="1"/>
    <col min="3" max="32" width="9.85546875" customWidth="1"/>
    <col min="33" max="33" width="13.85546875" customWidth="1"/>
    <col min="34" max="34" width="13.28515625" customWidth="1"/>
    <col min="35" max="35" width="12.140625" customWidth="1"/>
  </cols>
  <sheetData>
    <row r="1" spans="1:35" x14ac:dyDescent="0.25">
      <c r="A1" s="4"/>
      <c r="B1" s="17">
        <v>42856</v>
      </c>
      <c r="C1" s="17">
        <f>B1+1</f>
        <v>42857</v>
      </c>
      <c r="D1" s="17">
        <f>C1+1</f>
        <v>42858</v>
      </c>
      <c r="E1" s="17">
        <f t="shared" ref="E1:AF1" si="0">D1+1</f>
        <v>42859</v>
      </c>
      <c r="F1" s="17">
        <f t="shared" si="0"/>
        <v>42860</v>
      </c>
      <c r="G1" s="17">
        <f t="shared" si="0"/>
        <v>42861</v>
      </c>
      <c r="H1" s="17">
        <f t="shared" si="0"/>
        <v>42862</v>
      </c>
      <c r="I1" s="17">
        <f t="shared" si="0"/>
        <v>42863</v>
      </c>
      <c r="J1" s="17">
        <f t="shared" si="0"/>
        <v>42864</v>
      </c>
      <c r="K1" s="17">
        <f t="shared" si="0"/>
        <v>42865</v>
      </c>
      <c r="L1" s="17">
        <f t="shared" si="0"/>
        <v>42866</v>
      </c>
      <c r="M1" s="17">
        <f t="shared" si="0"/>
        <v>42867</v>
      </c>
      <c r="N1" s="17">
        <f t="shared" si="0"/>
        <v>42868</v>
      </c>
      <c r="O1" s="17">
        <f t="shared" si="0"/>
        <v>42869</v>
      </c>
      <c r="P1" s="17">
        <f t="shared" si="0"/>
        <v>42870</v>
      </c>
      <c r="Q1" s="17">
        <f t="shared" si="0"/>
        <v>42871</v>
      </c>
      <c r="R1" s="17">
        <f t="shared" si="0"/>
        <v>42872</v>
      </c>
      <c r="S1" s="17">
        <f t="shared" si="0"/>
        <v>42873</v>
      </c>
      <c r="T1" s="17">
        <f t="shared" si="0"/>
        <v>42874</v>
      </c>
      <c r="U1" s="17">
        <f t="shared" si="0"/>
        <v>42875</v>
      </c>
      <c r="V1" s="17">
        <f t="shared" si="0"/>
        <v>42876</v>
      </c>
      <c r="W1" s="17">
        <f t="shared" si="0"/>
        <v>42877</v>
      </c>
      <c r="X1" s="17">
        <f t="shared" si="0"/>
        <v>42878</v>
      </c>
      <c r="Y1" s="17">
        <f t="shared" si="0"/>
        <v>42879</v>
      </c>
      <c r="Z1" s="17">
        <f t="shared" si="0"/>
        <v>42880</v>
      </c>
      <c r="AA1" s="17">
        <f t="shared" si="0"/>
        <v>42881</v>
      </c>
      <c r="AB1" s="17">
        <f t="shared" si="0"/>
        <v>42882</v>
      </c>
      <c r="AC1" s="17">
        <f t="shared" si="0"/>
        <v>42883</v>
      </c>
      <c r="AD1" s="17">
        <f t="shared" si="0"/>
        <v>42884</v>
      </c>
      <c r="AE1" s="17">
        <f t="shared" si="0"/>
        <v>42885</v>
      </c>
      <c r="AF1" s="17">
        <f t="shared" si="0"/>
        <v>42886</v>
      </c>
      <c r="AG1" s="3" t="s">
        <v>0</v>
      </c>
      <c r="AH1" s="3" t="s">
        <v>1</v>
      </c>
      <c r="AI1" s="3" t="s">
        <v>17</v>
      </c>
    </row>
    <row r="2" spans="1:35" x14ac:dyDescent="0.25">
      <c r="A2" s="10" t="s">
        <v>2</v>
      </c>
      <c r="I2">
        <f>790</f>
        <v>790</v>
      </c>
      <c r="P2">
        <f>500</f>
        <v>500</v>
      </c>
      <c r="Z2">
        <f>160</f>
        <v>160</v>
      </c>
      <c r="AG2" s="4">
        <f t="shared" ref="AG2:AG12" si="1">SUM(B2:AF2)</f>
        <v>1450</v>
      </c>
      <c r="AH2" s="4">
        <v>2000</v>
      </c>
      <c r="AI2" s="16">
        <f>IF(AH2=0,0,AG2/AH2)</f>
        <v>0.72499999999999998</v>
      </c>
    </row>
    <row r="3" spans="1:35" x14ac:dyDescent="0.25">
      <c r="A3" s="11" t="s">
        <v>3</v>
      </c>
      <c r="I3">
        <f>204</f>
        <v>204</v>
      </c>
      <c r="L3">
        <f>120</f>
        <v>120</v>
      </c>
      <c r="O3">
        <f>50</f>
        <v>50</v>
      </c>
      <c r="R3">
        <f>20+20+100</f>
        <v>140</v>
      </c>
      <c r="S3">
        <f>10+15+10</f>
        <v>35</v>
      </c>
      <c r="T3">
        <f>25+10</f>
        <v>35</v>
      </c>
      <c r="Y3">
        <f t="shared" ref="Y3:Z3" si="2">25+10</f>
        <v>35</v>
      </c>
      <c r="Z3">
        <f t="shared" si="2"/>
        <v>35</v>
      </c>
      <c r="AA3">
        <f>25+10</f>
        <v>35</v>
      </c>
      <c r="AD3">
        <f t="shared" ref="AD3" si="3">25+10</f>
        <v>35</v>
      </c>
      <c r="AE3">
        <f>89</f>
        <v>89</v>
      </c>
      <c r="AF3">
        <f>25+10+177</f>
        <v>212</v>
      </c>
      <c r="AG3" s="4">
        <f t="shared" si="1"/>
        <v>1025</v>
      </c>
      <c r="AH3" s="4">
        <v>500</v>
      </c>
      <c r="AI3" s="16">
        <f t="shared" ref="AI3:AI13" si="4">IF(AH3=0,0,AG3/AH3)</f>
        <v>2.0499999999999998</v>
      </c>
    </row>
    <row r="4" spans="1:35" x14ac:dyDescent="0.25">
      <c r="A4" s="11" t="s">
        <v>4</v>
      </c>
      <c r="G4">
        <f>500</f>
        <v>500</v>
      </c>
      <c r="N4">
        <f>300</f>
        <v>300</v>
      </c>
      <c r="Q4">
        <f>1300</f>
        <v>1300</v>
      </c>
      <c r="X4">
        <f>280</f>
        <v>280</v>
      </c>
      <c r="AE4">
        <f>150</f>
        <v>150</v>
      </c>
      <c r="AG4" s="4">
        <f t="shared" si="1"/>
        <v>2530</v>
      </c>
      <c r="AH4" s="4">
        <v>1000</v>
      </c>
      <c r="AI4" s="16">
        <f t="shared" si="4"/>
        <v>2.5299999999999998</v>
      </c>
    </row>
    <row r="5" spans="1:35" x14ac:dyDescent="0.25">
      <c r="A5" s="11" t="s">
        <v>5</v>
      </c>
      <c r="E5">
        <f>1599</f>
        <v>1599</v>
      </c>
      <c r="P5">
        <f>700</f>
        <v>700</v>
      </c>
      <c r="T5">
        <f>150</f>
        <v>150</v>
      </c>
      <c r="AE5">
        <f>100</f>
        <v>100</v>
      </c>
      <c r="AF5">
        <f>-500</f>
        <v>-500</v>
      </c>
      <c r="AG5" s="4">
        <f t="shared" si="1"/>
        <v>2049</v>
      </c>
      <c r="AH5" s="4">
        <v>500</v>
      </c>
      <c r="AI5" s="16">
        <f t="shared" si="4"/>
        <v>4.0979999999999999</v>
      </c>
    </row>
    <row r="6" spans="1:35" x14ac:dyDescent="0.25">
      <c r="A6" s="11" t="s">
        <v>13</v>
      </c>
      <c r="M6">
        <f>16</f>
        <v>16</v>
      </c>
      <c r="Q6">
        <f>50+10</f>
        <v>60</v>
      </c>
      <c r="X6">
        <f>50</f>
        <v>50</v>
      </c>
      <c r="AF6">
        <f>20</f>
        <v>20</v>
      </c>
      <c r="AG6" s="4">
        <f t="shared" si="1"/>
        <v>146</v>
      </c>
      <c r="AH6" s="4">
        <v>500</v>
      </c>
      <c r="AI6" s="16">
        <f t="shared" si="4"/>
        <v>0.29199999999999998</v>
      </c>
    </row>
    <row r="7" spans="1:35" x14ac:dyDescent="0.25">
      <c r="A7" s="11" t="s">
        <v>6</v>
      </c>
      <c r="I7" s="6"/>
      <c r="P7" s="6"/>
      <c r="AG7" s="4">
        <f t="shared" si="1"/>
        <v>0</v>
      </c>
      <c r="AH7" s="4">
        <v>500</v>
      </c>
      <c r="AI7" s="16">
        <f t="shared" si="4"/>
        <v>0</v>
      </c>
    </row>
    <row r="8" spans="1:35" x14ac:dyDescent="0.25">
      <c r="A8" s="11" t="s">
        <v>7</v>
      </c>
      <c r="AA8">
        <f>200</f>
        <v>200</v>
      </c>
      <c r="AG8" s="4">
        <f t="shared" si="1"/>
        <v>200</v>
      </c>
      <c r="AH8" s="4">
        <v>0</v>
      </c>
      <c r="AI8" s="16">
        <f t="shared" si="4"/>
        <v>0</v>
      </c>
    </row>
    <row r="9" spans="1:35" x14ac:dyDescent="0.25">
      <c r="A9" s="11" t="s">
        <v>8</v>
      </c>
      <c r="E9">
        <f>493</f>
        <v>493</v>
      </c>
      <c r="F9">
        <f>99</f>
        <v>99</v>
      </c>
      <c r="N9">
        <f>200</f>
        <v>200</v>
      </c>
      <c r="O9">
        <f>100</f>
        <v>100</v>
      </c>
      <c r="R9">
        <f>450</f>
        <v>450</v>
      </c>
      <c r="T9">
        <f>200</f>
        <v>200</v>
      </c>
      <c r="AF9">
        <f>10+20</f>
        <v>30</v>
      </c>
      <c r="AG9" s="4">
        <f t="shared" si="1"/>
        <v>1572</v>
      </c>
      <c r="AH9" s="4">
        <v>1000</v>
      </c>
      <c r="AI9" s="16">
        <f t="shared" si="4"/>
        <v>1.5720000000000001</v>
      </c>
    </row>
    <row r="10" spans="1:35" x14ac:dyDescent="0.25">
      <c r="A10" s="11" t="s">
        <v>9</v>
      </c>
      <c r="I10" s="6"/>
      <c r="K10">
        <f>-100</f>
        <v>-100</v>
      </c>
      <c r="M10">
        <f>100</f>
        <v>100</v>
      </c>
      <c r="AE10">
        <f>210</f>
        <v>210</v>
      </c>
      <c r="AG10" s="4">
        <f t="shared" si="1"/>
        <v>210</v>
      </c>
      <c r="AH10" s="4">
        <v>0</v>
      </c>
      <c r="AI10" s="16">
        <f t="shared" si="4"/>
        <v>0</v>
      </c>
    </row>
    <row r="11" spans="1:35" x14ac:dyDescent="0.25">
      <c r="A11" s="11" t="s">
        <v>10</v>
      </c>
      <c r="C11">
        <f>170</f>
        <v>170</v>
      </c>
      <c r="D11">
        <f>1611+265</f>
        <v>1876</v>
      </c>
      <c r="P11">
        <f>223</f>
        <v>223</v>
      </c>
      <c r="S11">
        <v>165</v>
      </c>
      <c r="AA11">
        <f>300</f>
        <v>300</v>
      </c>
      <c r="AB11">
        <f>495</f>
        <v>495</v>
      </c>
      <c r="AG11" s="4">
        <f t="shared" si="1"/>
        <v>3229</v>
      </c>
      <c r="AH11" s="4">
        <v>1000</v>
      </c>
      <c r="AI11" s="16">
        <f t="shared" si="4"/>
        <v>3.2290000000000001</v>
      </c>
    </row>
    <row r="12" spans="1:35" x14ac:dyDescent="0.25">
      <c r="A12" s="12" t="s">
        <v>11</v>
      </c>
      <c r="N12">
        <f>104</f>
        <v>104</v>
      </c>
      <c r="AG12" s="4">
        <f t="shared" si="1"/>
        <v>104</v>
      </c>
      <c r="AH12" s="4">
        <v>500</v>
      </c>
      <c r="AI12" s="16">
        <f t="shared" si="4"/>
        <v>0.20799999999999999</v>
      </c>
    </row>
    <row r="13" spans="1:35" s="2" customFormat="1" x14ac:dyDescent="0.25">
      <c r="A13" s="7" t="s">
        <v>12</v>
      </c>
      <c r="B13" s="8">
        <f t="shared" ref="B13:AF13" si="5">SUM(B2:B12)</f>
        <v>0</v>
      </c>
      <c r="C13" s="8">
        <f t="shared" si="5"/>
        <v>170</v>
      </c>
      <c r="D13" s="8">
        <f t="shared" si="5"/>
        <v>1876</v>
      </c>
      <c r="E13" s="8">
        <f t="shared" si="5"/>
        <v>2092</v>
      </c>
      <c r="F13" s="8">
        <f t="shared" si="5"/>
        <v>99</v>
      </c>
      <c r="G13" s="8">
        <f t="shared" si="5"/>
        <v>500</v>
      </c>
      <c r="H13" s="8">
        <f t="shared" si="5"/>
        <v>0</v>
      </c>
      <c r="I13" s="8">
        <f t="shared" si="5"/>
        <v>994</v>
      </c>
      <c r="J13" s="8">
        <f t="shared" si="5"/>
        <v>0</v>
      </c>
      <c r="K13" s="8">
        <f t="shared" si="5"/>
        <v>-100</v>
      </c>
      <c r="L13" s="8">
        <f t="shared" si="5"/>
        <v>120</v>
      </c>
      <c r="M13" s="8">
        <f t="shared" si="5"/>
        <v>116</v>
      </c>
      <c r="N13" s="8">
        <f t="shared" si="5"/>
        <v>604</v>
      </c>
      <c r="O13" s="8">
        <f t="shared" si="5"/>
        <v>150</v>
      </c>
      <c r="P13" s="8">
        <f t="shared" si="5"/>
        <v>1423</v>
      </c>
      <c r="Q13" s="8">
        <f t="shared" si="5"/>
        <v>1360</v>
      </c>
      <c r="R13" s="8">
        <f t="shared" si="5"/>
        <v>590</v>
      </c>
      <c r="S13" s="8">
        <f t="shared" si="5"/>
        <v>200</v>
      </c>
      <c r="T13" s="8">
        <f t="shared" si="5"/>
        <v>385</v>
      </c>
      <c r="U13" s="8">
        <f t="shared" si="5"/>
        <v>0</v>
      </c>
      <c r="V13" s="8">
        <f t="shared" si="5"/>
        <v>0</v>
      </c>
      <c r="W13" s="8">
        <f t="shared" si="5"/>
        <v>0</v>
      </c>
      <c r="X13" s="8">
        <f t="shared" si="5"/>
        <v>330</v>
      </c>
      <c r="Y13" s="8">
        <f t="shared" si="5"/>
        <v>35</v>
      </c>
      <c r="Z13" s="8">
        <f t="shared" si="5"/>
        <v>195</v>
      </c>
      <c r="AA13" s="8">
        <f t="shared" si="5"/>
        <v>535</v>
      </c>
      <c r="AB13" s="8">
        <f t="shared" si="5"/>
        <v>495</v>
      </c>
      <c r="AC13" s="8">
        <f t="shared" si="5"/>
        <v>0</v>
      </c>
      <c r="AD13" s="8">
        <f t="shared" si="5"/>
        <v>35</v>
      </c>
      <c r="AE13" s="8">
        <f t="shared" si="5"/>
        <v>549</v>
      </c>
      <c r="AF13" s="8">
        <f t="shared" si="5"/>
        <v>-238</v>
      </c>
      <c r="AG13" s="8">
        <f>SUM(AG2:AG12)</f>
        <v>12515</v>
      </c>
      <c r="AH13" s="8">
        <f>SUM(AH2:AH12)</f>
        <v>7500</v>
      </c>
      <c r="AI13" s="16">
        <f t="shared" si="4"/>
        <v>1.6686666666666667</v>
      </c>
    </row>
    <row r="14" spans="1:35" x14ac:dyDescent="0.25">
      <c r="A14" s="6"/>
    </row>
    <row r="15" spans="1:35" x14ac:dyDescent="0.25">
      <c r="A15" s="13" t="s">
        <v>14</v>
      </c>
    </row>
    <row r="16" spans="1:35" x14ac:dyDescent="0.25">
      <c r="A16" s="14">
        <f>AH13</f>
        <v>7500</v>
      </c>
      <c r="AG16" s="9"/>
    </row>
    <row r="17" spans="1:1" x14ac:dyDescent="0.25">
      <c r="A17" s="13" t="s">
        <v>15</v>
      </c>
    </row>
    <row r="18" spans="1:1" x14ac:dyDescent="0.25">
      <c r="A18" s="14">
        <f>AG13</f>
        <v>12515</v>
      </c>
    </row>
    <row r="19" spans="1:1" x14ac:dyDescent="0.25">
      <c r="A19" s="13" t="s">
        <v>16</v>
      </c>
    </row>
    <row r="20" spans="1:1" x14ac:dyDescent="0.25">
      <c r="A20" s="15">
        <f>A18/A16</f>
        <v>1.6686666666666667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0"/>
  <sheetViews>
    <sheetView workbookViewId="0">
      <pane xSplit="1" topLeftCell="M1" activePane="topRight" state="frozen"/>
      <selection pane="topRight" activeCell="M5" sqref="M5"/>
    </sheetView>
  </sheetViews>
  <sheetFormatPr defaultRowHeight="15" x14ac:dyDescent="0.25"/>
  <cols>
    <col min="1" max="1" width="20" customWidth="1"/>
    <col min="3" max="31" width="9.85546875" customWidth="1"/>
    <col min="32" max="32" width="13.85546875" customWidth="1"/>
    <col min="33" max="33" width="13.28515625" customWidth="1"/>
    <col min="34" max="34" width="12.140625" customWidth="1"/>
  </cols>
  <sheetData>
    <row r="1" spans="1:34" x14ac:dyDescent="0.25">
      <c r="A1" s="4"/>
      <c r="B1" s="17">
        <v>42887</v>
      </c>
      <c r="C1" s="17">
        <f>B1+1</f>
        <v>42888</v>
      </c>
      <c r="D1" s="17">
        <f>C1+1</f>
        <v>42889</v>
      </c>
      <c r="E1" s="17">
        <f t="shared" ref="E1:AE1" si="0">D1+1</f>
        <v>42890</v>
      </c>
      <c r="F1" s="17">
        <f t="shared" si="0"/>
        <v>42891</v>
      </c>
      <c r="G1" s="17">
        <f t="shared" si="0"/>
        <v>42892</v>
      </c>
      <c r="H1" s="17">
        <f t="shared" si="0"/>
        <v>42893</v>
      </c>
      <c r="I1" s="17">
        <f t="shared" si="0"/>
        <v>42894</v>
      </c>
      <c r="J1" s="17">
        <f t="shared" si="0"/>
        <v>42895</v>
      </c>
      <c r="K1" s="17">
        <f t="shared" si="0"/>
        <v>42896</v>
      </c>
      <c r="L1" s="17">
        <f t="shared" si="0"/>
        <v>42897</v>
      </c>
      <c r="M1" s="17">
        <f t="shared" si="0"/>
        <v>42898</v>
      </c>
      <c r="N1" s="17">
        <f t="shared" si="0"/>
        <v>42899</v>
      </c>
      <c r="O1" s="17">
        <f t="shared" si="0"/>
        <v>42900</v>
      </c>
      <c r="P1" s="17">
        <f t="shared" si="0"/>
        <v>42901</v>
      </c>
      <c r="Q1" s="17">
        <f t="shared" si="0"/>
        <v>42902</v>
      </c>
      <c r="R1" s="17">
        <f t="shared" si="0"/>
        <v>42903</v>
      </c>
      <c r="S1" s="17">
        <f t="shared" si="0"/>
        <v>42904</v>
      </c>
      <c r="T1" s="17">
        <f t="shared" si="0"/>
        <v>42905</v>
      </c>
      <c r="U1" s="17">
        <f t="shared" si="0"/>
        <v>42906</v>
      </c>
      <c r="V1" s="17">
        <f t="shared" si="0"/>
        <v>42907</v>
      </c>
      <c r="W1" s="17">
        <f t="shared" si="0"/>
        <v>42908</v>
      </c>
      <c r="X1" s="17">
        <f t="shared" si="0"/>
        <v>42909</v>
      </c>
      <c r="Y1" s="17">
        <f t="shared" si="0"/>
        <v>42910</v>
      </c>
      <c r="Z1" s="17">
        <f t="shared" si="0"/>
        <v>42911</v>
      </c>
      <c r="AA1" s="17">
        <f t="shared" si="0"/>
        <v>42912</v>
      </c>
      <c r="AB1" s="17">
        <f t="shared" si="0"/>
        <v>42913</v>
      </c>
      <c r="AC1" s="17">
        <f t="shared" si="0"/>
        <v>42914</v>
      </c>
      <c r="AD1" s="17">
        <f t="shared" si="0"/>
        <v>42915</v>
      </c>
      <c r="AE1" s="17">
        <f t="shared" si="0"/>
        <v>42916</v>
      </c>
      <c r="AF1" s="3" t="s">
        <v>0</v>
      </c>
      <c r="AG1" s="3" t="s">
        <v>1</v>
      </c>
      <c r="AH1" s="3" t="s">
        <v>17</v>
      </c>
    </row>
    <row r="2" spans="1:34" x14ac:dyDescent="0.25">
      <c r="A2" s="10" t="s">
        <v>2</v>
      </c>
      <c r="B2">
        <f>1340</f>
        <v>1340</v>
      </c>
      <c r="X2">
        <f>1014</f>
        <v>1014</v>
      </c>
      <c r="Y2">
        <f>460</f>
        <v>460</v>
      </c>
      <c r="AF2" s="4">
        <f t="shared" ref="AF2:AF12" si="1">SUM(B2:AE2)</f>
        <v>2814</v>
      </c>
      <c r="AG2" s="4">
        <v>2000</v>
      </c>
      <c r="AH2" s="16">
        <f>IF(AG2=0,0,AF2/AG2)</f>
        <v>1.407</v>
      </c>
    </row>
    <row r="3" spans="1:34" x14ac:dyDescent="0.25">
      <c r="A3" s="11" t="s">
        <v>3</v>
      </c>
      <c r="B3">
        <f t="shared" ref="B3" si="2">25+10</f>
        <v>35</v>
      </c>
      <c r="D3">
        <f>50</f>
        <v>50</v>
      </c>
      <c r="F3">
        <f>25+10+10</f>
        <v>45</v>
      </c>
      <c r="K3">
        <f>25</f>
        <v>25</v>
      </c>
      <c r="P3">
        <f>25</f>
        <v>25</v>
      </c>
      <c r="Q3">
        <f>10</f>
        <v>10</v>
      </c>
      <c r="S3">
        <f>20+10</f>
        <v>30</v>
      </c>
      <c r="T3">
        <f>240</f>
        <v>240</v>
      </c>
      <c r="U3">
        <f>25</f>
        <v>25</v>
      </c>
      <c r="V3">
        <f>10</f>
        <v>10</v>
      </c>
      <c r="W3">
        <f>25</f>
        <v>25</v>
      </c>
      <c r="X3">
        <f>20</f>
        <v>20</v>
      </c>
      <c r="AE3">
        <f>300</f>
        <v>300</v>
      </c>
      <c r="AF3" s="4">
        <f t="shared" si="1"/>
        <v>840</v>
      </c>
      <c r="AG3" s="4">
        <v>700</v>
      </c>
      <c r="AH3" s="16">
        <f t="shared" ref="AH3:AH13" si="3">IF(AG3=0,0,AF3/AG3)</f>
        <v>1.2</v>
      </c>
    </row>
    <row r="4" spans="1:34" x14ac:dyDescent="0.25">
      <c r="A4" s="11" t="s">
        <v>4</v>
      </c>
      <c r="B4">
        <f>60</f>
        <v>60</v>
      </c>
      <c r="H4">
        <f>1980-980+100</f>
        <v>1100</v>
      </c>
      <c r="L4">
        <f>194</f>
        <v>194</v>
      </c>
      <c r="M4">
        <f>90</f>
        <v>90</v>
      </c>
      <c r="N4">
        <f>528-150</f>
        <v>378</v>
      </c>
      <c r="V4">
        <f>200</f>
        <v>200</v>
      </c>
      <c r="Z4">
        <f>200</f>
        <v>200</v>
      </c>
      <c r="AA4">
        <f>300</f>
        <v>300</v>
      </c>
      <c r="AF4" s="4">
        <f t="shared" si="1"/>
        <v>2522</v>
      </c>
      <c r="AG4" s="4">
        <v>2000</v>
      </c>
      <c r="AH4" s="16">
        <f t="shared" si="3"/>
        <v>1.2609999999999999</v>
      </c>
    </row>
    <row r="5" spans="1:34" x14ac:dyDescent="0.25">
      <c r="A5" s="11" t="s">
        <v>5</v>
      </c>
      <c r="I5">
        <f>590</f>
        <v>590</v>
      </c>
      <c r="M5">
        <f>2300</f>
        <v>2300</v>
      </c>
      <c r="AD5">
        <f>200</f>
        <v>200</v>
      </c>
      <c r="AF5" s="4">
        <f t="shared" si="1"/>
        <v>3090</v>
      </c>
      <c r="AG5" s="4">
        <v>500</v>
      </c>
      <c r="AH5" s="16">
        <f t="shared" si="3"/>
        <v>6.18</v>
      </c>
    </row>
    <row r="6" spans="1:34" x14ac:dyDescent="0.25">
      <c r="A6" s="11" t="s">
        <v>13</v>
      </c>
      <c r="G6">
        <f>50</f>
        <v>50</v>
      </c>
      <c r="J6">
        <f>40</f>
        <v>40</v>
      </c>
      <c r="N6">
        <f>10</f>
        <v>10</v>
      </c>
      <c r="V6">
        <f>40</f>
        <v>40</v>
      </c>
      <c r="AA6">
        <f>50</f>
        <v>50</v>
      </c>
      <c r="AB6">
        <f>50</f>
        <v>50</v>
      </c>
      <c r="AF6" s="4">
        <f t="shared" si="1"/>
        <v>240</v>
      </c>
      <c r="AG6" s="4">
        <v>500</v>
      </c>
      <c r="AH6" s="16">
        <f t="shared" si="3"/>
        <v>0.48</v>
      </c>
    </row>
    <row r="7" spans="1:34" x14ac:dyDescent="0.25">
      <c r="A7" s="11" t="s">
        <v>6</v>
      </c>
      <c r="I7" s="6"/>
      <c r="J7">
        <f>200</f>
        <v>200</v>
      </c>
      <c r="P7" s="6"/>
      <c r="AF7" s="4">
        <f t="shared" si="1"/>
        <v>200</v>
      </c>
      <c r="AG7" s="4">
        <v>500</v>
      </c>
      <c r="AH7" s="16">
        <f t="shared" si="3"/>
        <v>0.4</v>
      </c>
    </row>
    <row r="8" spans="1:34" x14ac:dyDescent="0.25">
      <c r="A8" s="11" t="s">
        <v>7</v>
      </c>
      <c r="AF8" s="4">
        <f t="shared" si="1"/>
        <v>0</v>
      </c>
      <c r="AG8" s="4">
        <v>0</v>
      </c>
      <c r="AH8" s="16">
        <f t="shared" si="3"/>
        <v>0</v>
      </c>
    </row>
    <row r="9" spans="1:34" x14ac:dyDescent="0.25">
      <c r="A9" s="11" t="s">
        <v>8</v>
      </c>
      <c r="G9">
        <f>217</f>
        <v>217</v>
      </c>
      <c r="H9">
        <f>500+50</f>
        <v>550</v>
      </c>
      <c r="J9">
        <f>280</f>
        <v>280</v>
      </c>
      <c r="W9">
        <f>220</f>
        <v>220</v>
      </c>
      <c r="AA9">
        <f>291</f>
        <v>291</v>
      </c>
      <c r="AF9" s="4">
        <f t="shared" si="1"/>
        <v>1558</v>
      </c>
      <c r="AG9" s="4">
        <v>1000</v>
      </c>
      <c r="AH9" s="16">
        <f t="shared" si="3"/>
        <v>1.5580000000000001</v>
      </c>
    </row>
    <row r="10" spans="1:34" x14ac:dyDescent="0.25">
      <c r="A10" s="11" t="s">
        <v>9</v>
      </c>
      <c r="I10" s="6"/>
      <c r="AF10" s="4">
        <f t="shared" si="1"/>
        <v>0</v>
      </c>
      <c r="AG10" s="4">
        <v>0</v>
      </c>
      <c r="AH10" s="16">
        <f t="shared" si="3"/>
        <v>0</v>
      </c>
    </row>
    <row r="11" spans="1:34" x14ac:dyDescent="0.25">
      <c r="A11" s="11" t="s">
        <v>10</v>
      </c>
      <c r="F11">
        <f>275</f>
        <v>275</v>
      </c>
      <c r="G11">
        <f>265</f>
        <v>265</v>
      </c>
      <c r="AF11" s="4">
        <f t="shared" si="1"/>
        <v>540</v>
      </c>
      <c r="AG11" s="4">
        <v>1000</v>
      </c>
      <c r="AH11" s="16">
        <f t="shared" si="3"/>
        <v>0.54</v>
      </c>
    </row>
    <row r="12" spans="1:34" x14ac:dyDescent="0.25">
      <c r="A12" s="12" t="s">
        <v>11</v>
      </c>
      <c r="AA12">
        <f>580</f>
        <v>580</v>
      </c>
      <c r="AF12" s="4">
        <f t="shared" si="1"/>
        <v>580</v>
      </c>
      <c r="AG12" s="4">
        <v>500</v>
      </c>
      <c r="AH12" s="16">
        <f t="shared" si="3"/>
        <v>1.1599999999999999</v>
      </c>
    </row>
    <row r="13" spans="1:34" s="2" customFormat="1" x14ac:dyDescent="0.25">
      <c r="A13" s="7" t="s">
        <v>12</v>
      </c>
      <c r="B13" s="8">
        <f t="shared" ref="B13:AE13" si="4">SUM(B2:B12)</f>
        <v>1435</v>
      </c>
      <c r="C13" s="8">
        <f t="shared" si="4"/>
        <v>0</v>
      </c>
      <c r="D13" s="8">
        <f t="shared" si="4"/>
        <v>50</v>
      </c>
      <c r="E13" s="8">
        <f t="shared" si="4"/>
        <v>0</v>
      </c>
      <c r="F13" s="8">
        <f t="shared" si="4"/>
        <v>320</v>
      </c>
      <c r="G13" s="8">
        <f t="shared" si="4"/>
        <v>532</v>
      </c>
      <c r="H13" s="8">
        <f t="shared" si="4"/>
        <v>1650</v>
      </c>
      <c r="I13" s="8">
        <f t="shared" si="4"/>
        <v>590</v>
      </c>
      <c r="J13" s="8">
        <f t="shared" si="4"/>
        <v>520</v>
      </c>
      <c r="K13" s="8">
        <f t="shared" si="4"/>
        <v>25</v>
      </c>
      <c r="L13" s="8">
        <f t="shared" si="4"/>
        <v>194</v>
      </c>
      <c r="M13" s="8">
        <f t="shared" si="4"/>
        <v>2390</v>
      </c>
      <c r="N13" s="8">
        <f t="shared" si="4"/>
        <v>388</v>
      </c>
      <c r="O13" s="8">
        <f t="shared" si="4"/>
        <v>0</v>
      </c>
      <c r="P13" s="8">
        <f t="shared" si="4"/>
        <v>25</v>
      </c>
      <c r="Q13" s="8">
        <f t="shared" si="4"/>
        <v>10</v>
      </c>
      <c r="R13" s="8">
        <f t="shared" si="4"/>
        <v>0</v>
      </c>
      <c r="S13" s="8">
        <f t="shared" si="4"/>
        <v>30</v>
      </c>
      <c r="T13" s="8">
        <f t="shared" si="4"/>
        <v>240</v>
      </c>
      <c r="U13" s="8">
        <f t="shared" si="4"/>
        <v>25</v>
      </c>
      <c r="V13" s="8">
        <f t="shared" si="4"/>
        <v>250</v>
      </c>
      <c r="W13" s="8">
        <f t="shared" si="4"/>
        <v>245</v>
      </c>
      <c r="X13" s="8">
        <f t="shared" si="4"/>
        <v>1034</v>
      </c>
      <c r="Y13" s="8">
        <f t="shared" si="4"/>
        <v>460</v>
      </c>
      <c r="Z13" s="8">
        <f t="shared" si="4"/>
        <v>200</v>
      </c>
      <c r="AA13" s="8">
        <f>SUM(AA2:AA12)</f>
        <v>1221</v>
      </c>
      <c r="AB13" s="8">
        <f t="shared" si="4"/>
        <v>50</v>
      </c>
      <c r="AC13" s="8">
        <f t="shared" si="4"/>
        <v>0</v>
      </c>
      <c r="AD13" s="8">
        <f t="shared" si="4"/>
        <v>200</v>
      </c>
      <c r="AE13" s="8">
        <f t="shared" si="4"/>
        <v>300</v>
      </c>
      <c r="AF13" s="8">
        <f>SUM(AF2:AF12)</f>
        <v>12384</v>
      </c>
      <c r="AG13" s="8">
        <f>SUM(AG2:AG12)</f>
        <v>8700</v>
      </c>
      <c r="AH13" s="16">
        <f t="shared" si="3"/>
        <v>1.423448275862069</v>
      </c>
    </row>
    <row r="14" spans="1:34" x14ac:dyDescent="0.25">
      <c r="A14" s="6"/>
    </row>
    <row r="15" spans="1:34" x14ac:dyDescent="0.25">
      <c r="A15" s="13" t="s">
        <v>14</v>
      </c>
    </row>
    <row r="16" spans="1:34" x14ac:dyDescent="0.25">
      <c r="A16" s="14">
        <f>AG13</f>
        <v>8700</v>
      </c>
      <c r="AF16" s="9"/>
    </row>
    <row r="17" spans="1:1" x14ac:dyDescent="0.25">
      <c r="A17" s="13" t="s">
        <v>15</v>
      </c>
    </row>
    <row r="18" spans="1:1" x14ac:dyDescent="0.25">
      <c r="A18" s="14">
        <f>AF13</f>
        <v>12384</v>
      </c>
    </row>
    <row r="19" spans="1:1" x14ac:dyDescent="0.25">
      <c r="A19" s="13" t="s">
        <v>16</v>
      </c>
    </row>
    <row r="20" spans="1:1" x14ac:dyDescent="0.25">
      <c r="A20" s="15">
        <f>A18/A16</f>
        <v>1.423448275862069</v>
      </c>
    </row>
  </sheetData>
  <conditionalFormatting sqref="AH2:AH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topLeftCell="A10" zoomScaleNormal="100" workbookViewId="0">
      <pane xSplit="1" topLeftCell="B1" activePane="topRight" state="frozen"/>
      <selection pane="topRight" activeCell="A31" sqref="A31"/>
    </sheetView>
  </sheetViews>
  <sheetFormatPr defaultRowHeight="15" x14ac:dyDescent="0.25"/>
  <cols>
    <col min="1" max="1" width="20" customWidth="1"/>
    <col min="3" max="32" width="9.85546875" customWidth="1"/>
    <col min="33" max="33" width="13.85546875" customWidth="1"/>
    <col min="34" max="34" width="13.28515625" customWidth="1"/>
    <col min="35" max="35" width="12.140625" customWidth="1"/>
  </cols>
  <sheetData>
    <row r="1" spans="1:35" x14ac:dyDescent="0.25">
      <c r="A1" s="4"/>
      <c r="B1" s="17">
        <v>42917</v>
      </c>
      <c r="C1" s="17">
        <f>B1+1</f>
        <v>42918</v>
      </c>
      <c r="D1" s="17">
        <f>C1+1</f>
        <v>42919</v>
      </c>
      <c r="E1" s="17">
        <f t="shared" ref="E1:AF1" si="0">D1+1</f>
        <v>42920</v>
      </c>
      <c r="F1" s="17">
        <f t="shared" si="0"/>
        <v>42921</v>
      </c>
      <c r="G1" s="17">
        <f t="shared" si="0"/>
        <v>42922</v>
      </c>
      <c r="H1" s="17">
        <f t="shared" si="0"/>
        <v>42923</v>
      </c>
      <c r="I1" s="17">
        <f t="shared" si="0"/>
        <v>42924</v>
      </c>
      <c r="J1" s="17">
        <f t="shared" si="0"/>
        <v>42925</v>
      </c>
      <c r="K1" s="17">
        <f t="shared" si="0"/>
        <v>42926</v>
      </c>
      <c r="L1" s="17">
        <f t="shared" si="0"/>
        <v>42927</v>
      </c>
      <c r="M1" s="17">
        <f t="shared" si="0"/>
        <v>42928</v>
      </c>
      <c r="N1" s="17">
        <f t="shared" si="0"/>
        <v>42929</v>
      </c>
      <c r="O1" s="17">
        <f t="shared" si="0"/>
        <v>42930</v>
      </c>
      <c r="P1" s="17">
        <f t="shared" si="0"/>
        <v>42931</v>
      </c>
      <c r="Q1" s="17">
        <f t="shared" si="0"/>
        <v>42932</v>
      </c>
      <c r="R1" s="17">
        <f t="shared" si="0"/>
        <v>42933</v>
      </c>
      <c r="S1" s="17">
        <f t="shared" si="0"/>
        <v>42934</v>
      </c>
      <c r="T1" s="17">
        <f t="shared" si="0"/>
        <v>42935</v>
      </c>
      <c r="U1" s="17">
        <f t="shared" si="0"/>
        <v>42936</v>
      </c>
      <c r="V1" s="17">
        <f t="shared" si="0"/>
        <v>42937</v>
      </c>
      <c r="W1" s="17">
        <f t="shared" si="0"/>
        <v>42938</v>
      </c>
      <c r="X1" s="17">
        <f t="shared" si="0"/>
        <v>42939</v>
      </c>
      <c r="Y1" s="17">
        <f t="shared" si="0"/>
        <v>42940</v>
      </c>
      <c r="Z1" s="17">
        <f t="shared" si="0"/>
        <v>42941</v>
      </c>
      <c r="AA1" s="17">
        <f t="shared" si="0"/>
        <v>42942</v>
      </c>
      <c r="AB1" s="17">
        <f t="shared" si="0"/>
        <v>42943</v>
      </c>
      <c r="AC1" s="17">
        <f t="shared" si="0"/>
        <v>42944</v>
      </c>
      <c r="AD1" s="17">
        <f t="shared" si="0"/>
        <v>42945</v>
      </c>
      <c r="AE1" s="17">
        <f t="shared" si="0"/>
        <v>42946</v>
      </c>
      <c r="AF1" s="17">
        <f t="shared" si="0"/>
        <v>42947</v>
      </c>
      <c r="AG1" s="3" t="s">
        <v>0</v>
      </c>
      <c r="AH1" s="3" t="s">
        <v>1</v>
      </c>
      <c r="AI1" s="3" t="s">
        <v>17</v>
      </c>
    </row>
    <row r="2" spans="1:35" x14ac:dyDescent="0.25">
      <c r="A2" s="10" t="s">
        <v>2</v>
      </c>
      <c r="B2">
        <f>185</f>
        <v>185</v>
      </c>
      <c r="F2">
        <f>280</f>
        <v>280</v>
      </c>
      <c r="S2">
        <f>220</f>
        <v>220</v>
      </c>
      <c r="AA2">
        <f>36</f>
        <v>36</v>
      </c>
      <c r="AC2">
        <f>468</f>
        <v>468</v>
      </c>
      <c r="AG2" s="4">
        <f t="shared" ref="AG2:AG12" si="1">SUM(B2:AF2)</f>
        <v>1189</v>
      </c>
      <c r="AH2" s="4">
        <v>2000</v>
      </c>
      <c r="AI2" s="16">
        <f>IF(AH2=0,0,AG2/AH2)</f>
        <v>0.59450000000000003</v>
      </c>
    </row>
    <row r="3" spans="1:35" x14ac:dyDescent="0.25">
      <c r="A3" s="11" t="s">
        <v>3</v>
      </c>
      <c r="B3">
        <f>20</f>
        <v>20</v>
      </c>
      <c r="E3">
        <f>330</f>
        <v>330</v>
      </c>
      <c r="T3">
        <f>30</f>
        <v>30</v>
      </c>
      <c r="X3">
        <f>75</f>
        <v>75</v>
      </c>
      <c r="AA3">
        <f>10</f>
        <v>10</v>
      </c>
      <c r="AG3" s="4">
        <f t="shared" si="1"/>
        <v>465</v>
      </c>
      <c r="AH3" s="4">
        <v>1000</v>
      </c>
      <c r="AI3" s="16">
        <f t="shared" ref="AI3:AI13" si="2">IF(AH3=0,0,AG3/AH3)</f>
        <v>0.46500000000000002</v>
      </c>
    </row>
    <row r="4" spans="1:35" x14ac:dyDescent="0.25">
      <c r="A4" s="11" t="s">
        <v>4</v>
      </c>
      <c r="E4">
        <f>484+153</f>
        <v>637</v>
      </c>
      <c r="J4">
        <f>224+150</f>
        <v>374</v>
      </c>
      <c r="U4">
        <f>1355</f>
        <v>1355</v>
      </c>
      <c r="AG4" s="4">
        <f t="shared" si="1"/>
        <v>2366</v>
      </c>
      <c r="AH4" s="4">
        <v>2000</v>
      </c>
      <c r="AI4" s="16">
        <f t="shared" si="2"/>
        <v>1.1830000000000001</v>
      </c>
    </row>
    <row r="5" spans="1:35" x14ac:dyDescent="0.25">
      <c r="A5" s="11" t="s">
        <v>5</v>
      </c>
      <c r="D5">
        <f>250</f>
        <v>250</v>
      </c>
      <c r="F5">
        <f>350</f>
        <v>350</v>
      </c>
      <c r="K5">
        <f>700</f>
        <v>700</v>
      </c>
      <c r="Y5">
        <f>1100</f>
        <v>1100</v>
      </c>
      <c r="AC5">
        <f>950</f>
        <v>950</v>
      </c>
      <c r="AG5" s="4">
        <f t="shared" si="1"/>
        <v>3350</v>
      </c>
      <c r="AH5" s="4">
        <v>1000</v>
      </c>
      <c r="AI5" s="16">
        <f t="shared" si="2"/>
        <v>3.35</v>
      </c>
    </row>
    <row r="6" spans="1:35" x14ac:dyDescent="0.25">
      <c r="A6" s="11" t="s">
        <v>13</v>
      </c>
      <c r="C6">
        <f>50</f>
        <v>50</v>
      </c>
      <c r="F6">
        <f>10</f>
        <v>10</v>
      </c>
      <c r="J6">
        <f>20</f>
        <v>20</v>
      </c>
      <c r="P6">
        <f>20</f>
        <v>20</v>
      </c>
      <c r="T6">
        <f>12</f>
        <v>12</v>
      </c>
      <c r="AE6">
        <f>20</f>
        <v>20</v>
      </c>
      <c r="AG6" s="4">
        <f t="shared" si="1"/>
        <v>132</v>
      </c>
      <c r="AH6" s="4">
        <v>500</v>
      </c>
      <c r="AI6" s="16">
        <f t="shared" si="2"/>
        <v>0.26400000000000001</v>
      </c>
    </row>
    <row r="7" spans="1:35" x14ac:dyDescent="0.25">
      <c r="A7" s="11" t="s">
        <v>6</v>
      </c>
      <c r="C7">
        <f>50</f>
        <v>50</v>
      </c>
      <c r="F7">
        <f>45</f>
        <v>45</v>
      </c>
      <c r="H7">
        <f>500</f>
        <v>500</v>
      </c>
      <c r="I7" s="6"/>
      <c r="J7">
        <f>20</f>
        <v>20</v>
      </c>
      <c r="L7">
        <f>180</f>
        <v>180</v>
      </c>
      <c r="P7" s="6"/>
      <c r="Q7">
        <f>290</f>
        <v>290</v>
      </c>
      <c r="AG7" s="4">
        <f t="shared" si="1"/>
        <v>1085</v>
      </c>
      <c r="AH7" s="4">
        <v>500</v>
      </c>
      <c r="AI7" s="16">
        <f t="shared" si="2"/>
        <v>2.17</v>
      </c>
    </row>
    <row r="8" spans="1:35" x14ac:dyDescent="0.25">
      <c r="A8" s="11" t="s">
        <v>7</v>
      </c>
      <c r="AG8" s="4">
        <f t="shared" si="1"/>
        <v>0</v>
      </c>
      <c r="AH8" s="4">
        <v>0</v>
      </c>
      <c r="AI8" s="16">
        <f t="shared" si="2"/>
        <v>0</v>
      </c>
    </row>
    <row r="9" spans="1:35" x14ac:dyDescent="0.25">
      <c r="A9" s="11" t="s">
        <v>8</v>
      </c>
      <c r="C9">
        <f>261</f>
        <v>261</v>
      </c>
      <c r="E9">
        <f>500</f>
        <v>500</v>
      </c>
      <c r="F9">
        <f>50</f>
        <v>50</v>
      </c>
      <c r="P9">
        <f>15</f>
        <v>15</v>
      </c>
      <c r="S9">
        <f>150</f>
        <v>150</v>
      </c>
      <c r="T9">
        <f>230</f>
        <v>230</v>
      </c>
      <c r="X9">
        <f>260</f>
        <v>260</v>
      </c>
      <c r="AG9" s="4">
        <f t="shared" si="1"/>
        <v>1466</v>
      </c>
      <c r="AH9" s="4">
        <v>1500</v>
      </c>
      <c r="AI9" s="16">
        <f t="shared" si="2"/>
        <v>0.97733333333333339</v>
      </c>
    </row>
    <row r="10" spans="1:35" x14ac:dyDescent="0.25">
      <c r="A10" s="11" t="s">
        <v>9</v>
      </c>
      <c r="I10" s="6"/>
      <c r="AG10" s="4">
        <f t="shared" si="1"/>
        <v>0</v>
      </c>
      <c r="AH10" s="4">
        <v>0</v>
      </c>
      <c r="AI10" s="16">
        <f t="shared" si="2"/>
        <v>0</v>
      </c>
    </row>
    <row r="11" spans="1:35" x14ac:dyDescent="0.25">
      <c r="A11" s="11" t="s">
        <v>10</v>
      </c>
      <c r="D11">
        <f>212</f>
        <v>212</v>
      </c>
      <c r="G11">
        <f>10+180</f>
        <v>190</v>
      </c>
      <c r="I11">
        <f>197+20</f>
        <v>217</v>
      </c>
      <c r="K11">
        <f>130</f>
        <v>130</v>
      </c>
      <c r="L11">
        <f>10</f>
        <v>10</v>
      </c>
      <c r="M11">
        <f>30+160+10</f>
        <v>200</v>
      </c>
      <c r="O11">
        <f>10</f>
        <v>10</v>
      </c>
      <c r="R11">
        <f>10</f>
        <v>10</v>
      </c>
      <c r="S11">
        <f>120</f>
        <v>120</v>
      </c>
      <c r="AA11">
        <f>350</f>
        <v>350</v>
      </c>
      <c r="AC11">
        <f>250</f>
        <v>250</v>
      </c>
      <c r="AD11">
        <f>230+200</f>
        <v>430</v>
      </c>
      <c r="AG11" s="4">
        <f t="shared" si="1"/>
        <v>2129</v>
      </c>
      <c r="AH11" s="4">
        <v>1000</v>
      </c>
      <c r="AI11" s="16">
        <f t="shared" si="2"/>
        <v>2.129</v>
      </c>
    </row>
    <row r="12" spans="1:35" x14ac:dyDescent="0.25">
      <c r="A12" s="12" t="s">
        <v>11</v>
      </c>
      <c r="E12">
        <f>399</f>
        <v>399</v>
      </c>
      <c r="AG12" s="4">
        <f t="shared" si="1"/>
        <v>399</v>
      </c>
      <c r="AH12" s="4">
        <v>500</v>
      </c>
      <c r="AI12" s="16">
        <f t="shared" si="2"/>
        <v>0.79800000000000004</v>
      </c>
    </row>
    <row r="13" spans="1:35" s="2" customFormat="1" x14ac:dyDescent="0.25">
      <c r="A13" s="7" t="s">
        <v>12</v>
      </c>
      <c r="B13" s="8">
        <f t="shared" ref="B13:AF13" si="3">SUM(B2:B12)</f>
        <v>205</v>
      </c>
      <c r="C13" s="8">
        <f t="shared" si="3"/>
        <v>361</v>
      </c>
      <c r="D13" s="8">
        <f t="shared" si="3"/>
        <v>462</v>
      </c>
      <c r="E13" s="8">
        <f t="shared" si="3"/>
        <v>1866</v>
      </c>
      <c r="F13" s="8">
        <f t="shared" si="3"/>
        <v>735</v>
      </c>
      <c r="G13" s="8">
        <f t="shared" si="3"/>
        <v>190</v>
      </c>
      <c r="H13" s="8">
        <f t="shared" si="3"/>
        <v>500</v>
      </c>
      <c r="I13" s="8">
        <f t="shared" si="3"/>
        <v>217</v>
      </c>
      <c r="J13" s="8">
        <f t="shared" si="3"/>
        <v>414</v>
      </c>
      <c r="K13" s="8">
        <f t="shared" si="3"/>
        <v>830</v>
      </c>
      <c r="L13" s="8">
        <f t="shared" si="3"/>
        <v>190</v>
      </c>
      <c r="M13" s="8">
        <f t="shared" si="3"/>
        <v>200</v>
      </c>
      <c r="N13" s="8">
        <f t="shared" si="3"/>
        <v>0</v>
      </c>
      <c r="O13" s="8">
        <f t="shared" si="3"/>
        <v>10</v>
      </c>
      <c r="P13" s="8">
        <f t="shared" si="3"/>
        <v>35</v>
      </c>
      <c r="Q13" s="8">
        <f t="shared" si="3"/>
        <v>290</v>
      </c>
      <c r="R13" s="8">
        <f t="shared" si="3"/>
        <v>10</v>
      </c>
      <c r="S13" s="8">
        <f t="shared" si="3"/>
        <v>490</v>
      </c>
      <c r="T13" s="8">
        <f t="shared" si="3"/>
        <v>272</v>
      </c>
      <c r="U13" s="8">
        <f t="shared" si="3"/>
        <v>1355</v>
      </c>
      <c r="V13" s="8">
        <f t="shared" si="3"/>
        <v>0</v>
      </c>
      <c r="W13" s="8">
        <f t="shared" si="3"/>
        <v>0</v>
      </c>
      <c r="X13" s="8">
        <f t="shared" si="3"/>
        <v>335</v>
      </c>
      <c r="Y13" s="8">
        <f t="shared" si="3"/>
        <v>1100</v>
      </c>
      <c r="Z13" s="8">
        <f t="shared" si="3"/>
        <v>0</v>
      </c>
      <c r="AA13" s="8">
        <f t="shared" si="3"/>
        <v>396</v>
      </c>
      <c r="AB13" s="8">
        <f t="shared" si="3"/>
        <v>0</v>
      </c>
      <c r="AC13" s="8">
        <f t="shared" si="3"/>
        <v>1668</v>
      </c>
      <c r="AD13" s="8">
        <f t="shared" si="3"/>
        <v>430</v>
      </c>
      <c r="AE13" s="8">
        <f t="shared" si="3"/>
        <v>20</v>
      </c>
      <c r="AF13" s="8">
        <f t="shared" si="3"/>
        <v>0</v>
      </c>
      <c r="AG13" s="8">
        <f>SUM(AG2:AG12)</f>
        <v>12581</v>
      </c>
      <c r="AH13" s="8">
        <f>SUM(AH2:AH12)</f>
        <v>10000</v>
      </c>
      <c r="AI13" s="16">
        <f t="shared" si="2"/>
        <v>1.2581</v>
      </c>
    </row>
    <row r="14" spans="1:35" x14ac:dyDescent="0.25">
      <c r="A14" s="6"/>
    </row>
    <row r="15" spans="1:35" x14ac:dyDescent="0.25">
      <c r="A15" s="13" t="s">
        <v>14</v>
      </c>
    </row>
    <row r="16" spans="1:35" x14ac:dyDescent="0.25">
      <c r="A16" s="14">
        <f>AH13</f>
        <v>10000</v>
      </c>
      <c r="AG16" s="9"/>
    </row>
    <row r="17" spans="1:32" x14ac:dyDescent="0.25">
      <c r="A17" s="13" t="s">
        <v>15</v>
      </c>
    </row>
    <row r="18" spans="1:32" x14ac:dyDescent="0.25">
      <c r="A18" s="14">
        <f>AG13</f>
        <v>12581</v>
      </c>
    </row>
    <row r="19" spans="1:32" x14ac:dyDescent="0.25">
      <c r="A19" s="13" t="s">
        <v>16</v>
      </c>
    </row>
    <row r="20" spans="1:32" x14ac:dyDescent="0.25">
      <c r="A20" s="15">
        <f>A18/A16</f>
        <v>1.2581</v>
      </c>
    </row>
    <row r="21" spans="1:32" x14ac:dyDescent="0.25">
      <c r="A21" s="18"/>
    </row>
    <row r="22" spans="1:32" x14ac:dyDescent="0.25">
      <c r="B22">
        <f>($AH$13/COUNTA($B$13:$AF$13))*COUNT($B$13:B13)</f>
        <v>322.58064516129031</v>
      </c>
      <c r="C22">
        <f>($AH$13/COUNTA($B$13:$AF$13))*COUNT($B$13:C13)</f>
        <v>645.16129032258061</v>
      </c>
      <c r="D22">
        <f>($AH$13/COUNTA($B$13:$AF$13))*COUNT($B$13:D13)</f>
        <v>967.74193548387098</v>
      </c>
      <c r="E22">
        <f>($AH$13/COUNTA($B$13:$AF$13))*COUNT($B$13:E13)</f>
        <v>1290.3225806451612</v>
      </c>
      <c r="F22">
        <f>($AH$13/COUNTA($B$13:$AF$13))*COUNT($B$13:F13)</f>
        <v>1612.9032258064515</v>
      </c>
      <c r="G22">
        <f>($AH$13/COUNTA($B$13:$AF$13))*COUNT($B$13:G13)</f>
        <v>1935.483870967742</v>
      </c>
      <c r="H22">
        <f>($AH$13/COUNTA($B$13:$AF$13))*COUNT($B$13:H13)</f>
        <v>2258.0645161290322</v>
      </c>
      <c r="I22">
        <f>($AH$13/COUNTA($B$13:$AF$13))*COUNT($B$13:I13)</f>
        <v>2580.6451612903224</v>
      </c>
      <c r="J22">
        <f>($AH$13/COUNTA($B$13:$AF$13))*COUNT($B$13:J13)</f>
        <v>2903.2258064516127</v>
      </c>
      <c r="K22">
        <f>($AH$13/COUNTA($B$13:$AF$13))*COUNT($B$13:K13)</f>
        <v>3225.8064516129029</v>
      </c>
      <c r="L22">
        <f>($AH$13/COUNTA($B$13:$AF$13))*COUNT($B$13:L13)</f>
        <v>3548.3870967741932</v>
      </c>
      <c r="M22">
        <f>($AH$13/COUNTA($B$13:$AF$13))*COUNT($B$13:M13)</f>
        <v>3870.9677419354839</v>
      </c>
      <c r="N22">
        <f>($AH$13/COUNTA($B$13:$AF$13))*COUNT($B$13:N13)</f>
        <v>4193.5483870967737</v>
      </c>
      <c r="O22">
        <f>($AH$13/COUNTA($B$13:$AF$13))*COUNT($B$13:O13)</f>
        <v>4516.1290322580644</v>
      </c>
      <c r="P22">
        <f>($AH$13/COUNTA($B$13:$AF$13))*COUNT($B$13:P13)</f>
        <v>4838.7096774193542</v>
      </c>
      <c r="Q22">
        <f>($AH$13/COUNTA($B$13:$AF$13))*COUNT($B$13:Q13)</f>
        <v>5161.2903225806449</v>
      </c>
      <c r="R22">
        <f>($AH$13/COUNTA($B$13:$AF$13))*COUNT($B$13:R13)</f>
        <v>5483.8709677419356</v>
      </c>
      <c r="S22">
        <f>($AH$13/COUNTA($B$13:$AF$13))*COUNT($B$13:S13)</f>
        <v>5806.4516129032254</v>
      </c>
      <c r="T22">
        <f>($AH$13/COUNTA($B$13:$AF$13))*COUNT($B$13:T13)</f>
        <v>6129.0322580645161</v>
      </c>
      <c r="U22">
        <f>($AH$13/COUNTA($B$13:$AF$13))*COUNT($B$13:U13)</f>
        <v>6451.6129032258059</v>
      </c>
      <c r="V22">
        <f>($AH$13/COUNTA($B$13:$AF$13))*COUNT($B$13:V13)</f>
        <v>6774.1935483870966</v>
      </c>
      <c r="W22">
        <f>($AH$13/COUNTA($B$13:$AF$13))*COUNT($B$13:W13)</f>
        <v>7096.7741935483864</v>
      </c>
      <c r="X22">
        <f>($AH$13/COUNTA($B$13:$AF$13))*COUNT($B$13:X13)</f>
        <v>7419.3548387096771</v>
      </c>
      <c r="Y22">
        <f>($AH$13/COUNTA($B$13:$AF$13))*COUNT($B$13:Y13)</f>
        <v>7741.9354838709678</v>
      </c>
      <c r="Z22">
        <f>($AH$13/COUNTA($B$13:$AF$13))*COUNT($B$13:Z13)</f>
        <v>8064.5161290322576</v>
      </c>
      <c r="AA22">
        <f>($AH$13/COUNTA($B$13:$AF$13))*COUNT($B$13:AA13)</f>
        <v>8387.0967741935474</v>
      </c>
      <c r="AB22">
        <f>($AH$13/COUNTA($B$13:$AF$13))*COUNT($B$13:AB13)</f>
        <v>8709.677419354839</v>
      </c>
      <c r="AC22">
        <f>($AH$13/COUNTA($B$13:$AF$13))*COUNT($B$13:AC13)</f>
        <v>9032.2580645161288</v>
      </c>
      <c r="AD22">
        <f>($AH$13/COUNTA($B$13:$AF$13))*COUNT($B$13:AD13)</f>
        <v>9354.8387096774186</v>
      </c>
      <c r="AE22">
        <f>($AH$13/COUNTA($B$13:$AF$13))*COUNT($B$13:AE13)</f>
        <v>9677.4193548387084</v>
      </c>
      <c r="AF22">
        <f>($AH$13/COUNTA($B$13:$AF$13))*COUNT($B$13:AF13)</f>
        <v>10000</v>
      </c>
    </row>
    <row r="23" spans="1:32" x14ac:dyDescent="0.25">
      <c r="B23">
        <f>B13</f>
        <v>205</v>
      </c>
      <c r="C23">
        <f>B23+C13</f>
        <v>566</v>
      </c>
      <c r="D23">
        <f t="shared" ref="D23:AF23" si="4">C23+D13</f>
        <v>1028</v>
      </c>
      <c r="E23">
        <f t="shared" si="4"/>
        <v>2894</v>
      </c>
      <c r="F23">
        <f t="shared" si="4"/>
        <v>3629</v>
      </c>
      <c r="G23">
        <f t="shared" si="4"/>
        <v>3819</v>
      </c>
      <c r="H23">
        <f t="shared" si="4"/>
        <v>4319</v>
      </c>
      <c r="I23">
        <f t="shared" si="4"/>
        <v>4536</v>
      </c>
      <c r="J23">
        <f t="shared" si="4"/>
        <v>4950</v>
      </c>
      <c r="K23">
        <f t="shared" si="4"/>
        <v>5780</v>
      </c>
      <c r="L23">
        <f t="shared" si="4"/>
        <v>5970</v>
      </c>
      <c r="M23">
        <f t="shared" si="4"/>
        <v>6170</v>
      </c>
      <c r="N23">
        <f t="shared" si="4"/>
        <v>6170</v>
      </c>
      <c r="O23">
        <f t="shared" si="4"/>
        <v>6180</v>
      </c>
      <c r="P23">
        <f t="shared" si="4"/>
        <v>6215</v>
      </c>
      <c r="Q23">
        <f t="shared" si="4"/>
        <v>6505</v>
      </c>
      <c r="R23">
        <f t="shared" si="4"/>
        <v>6515</v>
      </c>
      <c r="S23">
        <f t="shared" si="4"/>
        <v>7005</v>
      </c>
      <c r="T23">
        <f t="shared" si="4"/>
        <v>7277</v>
      </c>
      <c r="U23">
        <f t="shared" si="4"/>
        <v>8632</v>
      </c>
      <c r="V23">
        <f t="shared" si="4"/>
        <v>8632</v>
      </c>
      <c r="W23">
        <f t="shared" si="4"/>
        <v>8632</v>
      </c>
      <c r="X23">
        <f t="shared" si="4"/>
        <v>8967</v>
      </c>
      <c r="Y23">
        <f t="shared" si="4"/>
        <v>10067</v>
      </c>
      <c r="Z23">
        <f t="shared" si="4"/>
        <v>10067</v>
      </c>
      <c r="AA23">
        <f t="shared" si="4"/>
        <v>10463</v>
      </c>
      <c r="AB23">
        <f t="shared" si="4"/>
        <v>10463</v>
      </c>
      <c r="AC23">
        <f t="shared" si="4"/>
        <v>12131</v>
      </c>
      <c r="AD23">
        <f t="shared" si="4"/>
        <v>12561</v>
      </c>
      <c r="AE23">
        <f t="shared" si="4"/>
        <v>12581</v>
      </c>
      <c r="AF23">
        <f t="shared" si="4"/>
        <v>12581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zoomScaleNormal="100" workbookViewId="0">
      <pane xSplit="1" topLeftCell="J1" activePane="topRight" state="frozen"/>
      <selection pane="topRight" activeCell="G9" sqref="G9"/>
    </sheetView>
  </sheetViews>
  <sheetFormatPr defaultRowHeight="15" x14ac:dyDescent="0.25"/>
  <cols>
    <col min="1" max="1" width="20" customWidth="1"/>
    <col min="3" max="32" width="9.85546875" customWidth="1"/>
    <col min="33" max="33" width="13.85546875" customWidth="1"/>
    <col min="34" max="34" width="13.28515625" customWidth="1"/>
    <col min="35" max="35" width="12.140625" customWidth="1"/>
  </cols>
  <sheetData>
    <row r="1" spans="1:35" x14ac:dyDescent="0.25">
      <c r="A1" s="4"/>
      <c r="B1" s="17">
        <v>42948</v>
      </c>
      <c r="C1" s="17">
        <f>B1+1</f>
        <v>42949</v>
      </c>
      <c r="D1" s="17">
        <f>C1+1</f>
        <v>42950</v>
      </c>
      <c r="E1" s="17">
        <f t="shared" ref="E1:AF1" si="0">D1+1</f>
        <v>42951</v>
      </c>
      <c r="F1" s="17">
        <f t="shared" si="0"/>
        <v>42952</v>
      </c>
      <c r="G1" s="17">
        <f t="shared" si="0"/>
        <v>42953</v>
      </c>
      <c r="H1" s="17">
        <f t="shared" si="0"/>
        <v>42954</v>
      </c>
      <c r="I1" s="17">
        <f t="shared" si="0"/>
        <v>42955</v>
      </c>
      <c r="J1" s="17">
        <f t="shared" si="0"/>
        <v>42956</v>
      </c>
      <c r="K1" s="17">
        <f t="shared" si="0"/>
        <v>42957</v>
      </c>
      <c r="L1" s="17">
        <f t="shared" si="0"/>
        <v>42958</v>
      </c>
      <c r="M1" s="17">
        <f t="shared" si="0"/>
        <v>42959</v>
      </c>
      <c r="N1" s="17">
        <f t="shared" si="0"/>
        <v>42960</v>
      </c>
      <c r="O1" s="17">
        <f t="shared" si="0"/>
        <v>42961</v>
      </c>
      <c r="P1" s="17">
        <f t="shared" si="0"/>
        <v>42962</v>
      </c>
      <c r="Q1" s="17">
        <f t="shared" si="0"/>
        <v>42963</v>
      </c>
      <c r="R1" s="17">
        <f t="shared" si="0"/>
        <v>42964</v>
      </c>
      <c r="S1" s="17">
        <f t="shared" si="0"/>
        <v>42965</v>
      </c>
      <c r="T1" s="17">
        <f t="shared" si="0"/>
        <v>42966</v>
      </c>
      <c r="U1" s="17">
        <f t="shared" si="0"/>
        <v>42967</v>
      </c>
      <c r="V1" s="17">
        <f t="shared" si="0"/>
        <v>42968</v>
      </c>
      <c r="W1" s="17">
        <f t="shared" si="0"/>
        <v>42969</v>
      </c>
      <c r="X1" s="17">
        <f t="shared" si="0"/>
        <v>42970</v>
      </c>
      <c r="Y1" s="17">
        <f t="shared" si="0"/>
        <v>42971</v>
      </c>
      <c r="Z1" s="17">
        <f t="shared" si="0"/>
        <v>42972</v>
      </c>
      <c r="AA1" s="17">
        <f t="shared" si="0"/>
        <v>42973</v>
      </c>
      <c r="AB1" s="17">
        <f t="shared" si="0"/>
        <v>42974</v>
      </c>
      <c r="AC1" s="17">
        <f t="shared" si="0"/>
        <v>42975</v>
      </c>
      <c r="AD1" s="17">
        <f t="shared" si="0"/>
        <v>42976</v>
      </c>
      <c r="AE1" s="17">
        <f t="shared" si="0"/>
        <v>42977</v>
      </c>
      <c r="AF1" s="17">
        <f t="shared" si="0"/>
        <v>42978</v>
      </c>
      <c r="AG1" s="3" t="s">
        <v>0</v>
      </c>
      <c r="AH1" s="3" t="s">
        <v>1</v>
      </c>
      <c r="AI1" s="3" t="s">
        <v>17</v>
      </c>
    </row>
    <row r="2" spans="1:35" x14ac:dyDescent="0.25">
      <c r="A2" s="10" t="s">
        <v>2</v>
      </c>
      <c r="G2">
        <f>500</f>
        <v>500</v>
      </c>
      <c r="H2">
        <f>400+240</f>
        <v>640</v>
      </c>
      <c r="P2">
        <f>400</f>
        <v>400</v>
      </c>
      <c r="X2">
        <f>450</f>
        <v>450</v>
      </c>
      <c r="AG2" s="4">
        <f t="shared" ref="AG2:AG12" si="1">SUM(B2:AF2)</f>
        <v>1990</v>
      </c>
      <c r="AH2" s="4">
        <v>2000</v>
      </c>
      <c r="AI2" s="16">
        <f>IF(AH2=0,0,AG2/AH2)</f>
        <v>0.995</v>
      </c>
    </row>
    <row r="3" spans="1:35" x14ac:dyDescent="0.25">
      <c r="A3" s="11" t="s">
        <v>3</v>
      </c>
      <c r="E3">
        <f>50</f>
        <v>50</v>
      </c>
      <c r="G3">
        <f>80</f>
        <v>80</v>
      </c>
      <c r="AG3" s="4">
        <f t="shared" si="1"/>
        <v>130</v>
      </c>
      <c r="AH3" s="4">
        <v>1000</v>
      </c>
      <c r="AI3" s="16">
        <f t="shared" ref="AI3:AI13" si="2">IF(AH3=0,0,AG3/AH3)</f>
        <v>0.13</v>
      </c>
    </row>
    <row r="4" spans="1:35" x14ac:dyDescent="0.25">
      <c r="A4" s="11" t="s">
        <v>4</v>
      </c>
      <c r="W4">
        <f>1000</f>
        <v>1000</v>
      </c>
      <c r="AD4">
        <f>200-400</f>
        <v>-200</v>
      </c>
      <c r="AG4" s="4">
        <f t="shared" si="1"/>
        <v>800</v>
      </c>
      <c r="AH4" s="4">
        <v>2000</v>
      </c>
      <c r="AI4" s="16">
        <f t="shared" si="2"/>
        <v>0.4</v>
      </c>
    </row>
    <row r="5" spans="1:35" x14ac:dyDescent="0.25">
      <c r="A5" s="11" t="s">
        <v>5</v>
      </c>
      <c r="G5">
        <f>1594</f>
        <v>1594</v>
      </c>
      <c r="H5">
        <f>500-1500</f>
        <v>-1000</v>
      </c>
      <c r="L5">
        <f>89</f>
        <v>89</v>
      </c>
      <c r="N5">
        <f>500</f>
        <v>500</v>
      </c>
      <c r="O5">
        <f>800+3210</f>
        <v>4010</v>
      </c>
      <c r="P5">
        <f>130</f>
        <v>130</v>
      </c>
      <c r="R5">
        <f>300</f>
        <v>300</v>
      </c>
      <c r="AG5" s="4">
        <f t="shared" si="1"/>
        <v>5623</v>
      </c>
      <c r="AH5" s="4">
        <f>1000+50*65</f>
        <v>4250</v>
      </c>
      <c r="AI5" s="16">
        <f t="shared" si="2"/>
        <v>1.3230588235294118</v>
      </c>
    </row>
    <row r="6" spans="1:35" x14ac:dyDescent="0.25">
      <c r="A6" s="11" t="s">
        <v>13</v>
      </c>
      <c r="F6">
        <f>30</f>
        <v>30</v>
      </c>
      <c r="AG6" s="4">
        <f t="shared" si="1"/>
        <v>30</v>
      </c>
      <c r="AH6" s="4">
        <v>500</v>
      </c>
      <c r="AI6" s="16">
        <f t="shared" si="2"/>
        <v>0.06</v>
      </c>
    </row>
    <row r="7" spans="1:35" x14ac:dyDescent="0.25">
      <c r="A7" s="11" t="s">
        <v>6</v>
      </c>
      <c r="C7">
        <f>280</f>
        <v>280</v>
      </c>
      <c r="F7">
        <f>100</f>
        <v>100</v>
      </c>
      <c r="I7" s="6"/>
      <c r="N7">
        <f>550</f>
        <v>550</v>
      </c>
      <c r="P7" s="6"/>
      <c r="Z7">
        <f>272</f>
        <v>272</v>
      </c>
      <c r="AG7" s="4">
        <f t="shared" si="1"/>
        <v>1202</v>
      </c>
      <c r="AH7" s="4">
        <v>500</v>
      </c>
      <c r="AI7" s="16">
        <f t="shared" si="2"/>
        <v>2.4039999999999999</v>
      </c>
    </row>
    <row r="8" spans="1:35" x14ac:dyDescent="0.25">
      <c r="A8" s="11" t="s">
        <v>7</v>
      </c>
      <c r="AA8">
        <f>1000</f>
        <v>1000</v>
      </c>
      <c r="AG8" s="4">
        <f t="shared" si="1"/>
        <v>1000</v>
      </c>
      <c r="AH8" s="4">
        <f>3000</f>
        <v>3000</v>
      </c>
      <c r="AI8" s="16">
        <f t="shared" si="2"/>
        <v>0.33333333333333331</v>
      </c>
    </row>
    <row r="9" spans="1:35" x14ac:dyDescent="0.25">
      <c r="A9" s="11" t="s">
        <v>8</v>
      </c>
      <c r="C9">
        <f>60+300+500</f>
        <v>860</v>
      </c>
      <c r="G9">
        <f>600</f>
        <v>600</v>
      </c>
      <c r="P9">
        <f>273</f>
        <v>273</v>
      </c>
      <c r="W9">
        <f>200</f>
        <v>200</v>
      </c>
      <c r="AC9">
        <f>290</f>
        <v>290</v>
      </c>
      <c r="AD9">
        <f>185</f>
        <v>185</v>
      </c>
      <c r="AG9" s="4">
        <f>SUM(C9:AF9)</f>
        <v>2408</v>
      </c>
      <c r="AH9" s="4">
        <v>1500</v>
      </c>
      <c r="AI9" s="16">
        <f t="shared" si="2"/>
        <v>1.6053333333333333</v>
      </c>
    </row>
    <row r="10" spans="1:35" x14ac:dyDescent="0.25">
      <c r="A10" s="11" t="s">
        <v>9</v>
      </c>
      <c r="I10" s="6"/>
      <c r="Z10">
        <f>1000</f>
        <v>1000</v>
      </c>
      <c r="AG10" s="4">
        <f t="shared" si="1"/>
        <v>1000</v>
      </c>
      <c r="AH10" s="4">
        <v>0</v>
      </c>
      <c r="AI10" s="16">
        <f t="shared" si="2"/>
        <v>0</v>
      </c>
    </row>
    <row r="11" spans="1:35" x14ac:dyDescent="0.25">
      <c r="A11" s="11" t="s">
        <v>10</v>
      </c>
      <c r="J11">
        <f>450</f>
        <v>450</v>
      </c>
      <c r="L11">
        <f>200</f>
        <v>200</v>
      </c>
      <c r="M11">
        <f>679</f>
        <v>679</v>
      </c>
      <c r="O11">
        <f>242</f>
        <v>242</v>
      </c>
      <c r="U11">
        <f>235</f>
        <v>235</v>
      </c>
      <c r="V11">
        <f>300</f>
        <v>300</v>
      </c>
      <c r="W11">
        <f>120</f>
        <v>120</v>
      </c>
      <c r="AC11">
        <f>200</f>
        <v>200</v>
      </c>
      <c r="AD11">
        <f>202</f>
        <v>202</v>
      </c>
      <c r="AG11" s="4">
        <f t="shared" si="1"/>
        <v>2628</v>
      </c>
      <c r="AH11" s="4">
        <v>1000</v>
      </c>
      <c r="AI11" s="16">
        <f t="shared" si="2"/>
        <v>2.6280000000000001</v>
      </c>
    </row>
    <row r="12" spans="1:35" x14ac:dyDescent="0.25">
      <c r="A12" s="12" t="s">
        <v>11</v>
      </c>
      <c r="AG12" s="4">
        <f t="shared" si="1"/>
        <v>0</v>
      </c>
      <c r="AH12" s="4">
        <v>500</v>
      </c>
      <c r="AI12" s="16">
        <f t="shared" si="2"/>
        <v>0</v>
      </c>
    </row>
    <row r="13" spans="1:35" s="2" customFormat="1" x14ac:dyDescent="0.25">
      <c r="A13" s="7" t="s">
        <v>12</v>
      </c>
      <c r="B13" s="8">
        <f t="shared" ref="B13:AF13" si="3">SUM(B2:B12)</f>
        <v>0</v>
      </c>
      <c r="C13" s="8">
        <f t="shared" si="3"/>
        <v>1140</v>
      </c>
      <c r="D13" s="8">
        <f t="shared" si="3"/>
        <v>0</v>
      </c>
      <c r="E13" s="8">
        <f t="shared" si="3"/>
        <v>50</v>
      </c>
      <c r="F13" s="8">
        <f t="shared" si="3"/>
        <v>130</v>
      </c>
      <c r="G13" s="8">
        <f t="shared" si="3"/>
        <v>2774</v>
      </c>
      <c r="H13" s="8">
        <f t="shared" si="3"/>
        <v>-360</v>
      </c>
      <c r="I13" s="8">
        <f t="shared" si="3"/>
        <v>0</v>
      </c>
      <c r="J13" s="8">
        <f t="shared" si="3"/>
        <v>450</v>
      </c>
      <c r="K13" s="8">
        <f t="shared" si="3"/>
        <v>0</v>
      </c>
      <c r="L13" s="8">
        <f t="shared" si="3"/>
        <v>289</v>
      </c>
      <c r="M13" s="8">
        <f t="shared" si="3"/>
        <v>679</v>
      </c>
      <c r="N13" s="8">
        <f t="shared" si="3"/>
        <v>1050</v>
      </c>
      <c r="O13" s="8">
        <f t="shared" si="3"/>
        <v>4252</v>
      </c>
      <c r="P13" s="8">
        <f t="shared" si="3"/>
        <v>803</v>
      </c>
      <c r="Q13" s="8">
        <f t="shared" si="3"/>
        <v>0</v>
      </c>
      <c r="R13" s="8">
        <f t="shared" si="3"/>
        <v>300</v>
      </c>
      <c r="S13" s="8">
        <f t="shared" si="3"/>
        <v>0</v>
      </c>
      <c r="T13" s="8">
        <f t="shared" si="3"/>
        <v>0</v>
      </c>
      <c r="U13" s="8">
        <f t="shared" si="3"/>
        <v>235</v>
      </c>
      <c r="V13" s="8">
        <f t="shared" si="3"/>
        <v>300</v>
      </c>
      <c r="W13" s="8">
        <f t="shared" si="3"/>
        <v>1320</v>
      </c>
      <c r="X13" s="8">
        <f t="shared" si="3"/>
        <v>450</v>
      </c>
      <c r="Y13" s="8">
        <f t="shared" si="3"/>
        <v>0</v>
      </c>
      <c r="Z13" s="8">
        <f t="shared" si="3"/>
        <v>1272</v>
      </c>
      <c r="AA13" s="8">
        <f t="shared" si="3"/>
        <v>1000</v>
      </c>
      <c r="AB13" s="8">
        <f t="shared" si="3"/>
        <v>0</v>
      </c>
      <c r="AC13" s="8">
        <f t="shared" si="3"/>
        <v>490</v>
      </c>
      <c r="AD13" s="8">
        <f t="shared" si="3"/>
        <v>187</v>
      </c>
      <c r="AE13" s="8">
        <f t="shared" si="3"/>
        <v>0</v>
      </c>
      <c r="AF13" s="8">
        <f t="shared" si="3"/>
        <v>0</v>
      </c>
      <c r="AG13" s="8">
        <f>SUM(AG2:AG12)</f>
        <v>16811</v>
      </c>
      <c r="AH13" s="8">
        <f>SUM(AH2:AH12)</f>
        <v>16250</v>
      </c>
      <c r="AI13" s="16">
        <f t="shared" si="2"/>
        <v>1.0345230769230769</v>
      </c>
    </row>
    <row r="14" spans="1:35" x14ac:dyDescent="0.25">
      <c r="A14" s="6"/>
    </row>
    <row r="15" spans="1:35" x14ac:dyDescent="0.25">
      <c r="A15" s="13" t="s">
        <v>14</v>
      </c>
    </row>
    <row r="16" spans="1:35" x14ac:dyDescent="0.25">
      <c r="A16" s="14">
        <f>AH13</f>
        <v>16250</v>
      </c>
      <c r="AG16" s="9"/>
    </row>
    <row r="17" spans="1:32" x14ac:dyDescent="0.25">
      <c r="A17" s="13" t="s">
        <v>15</v>
      </c>
    </row>
    <row r="18" spans="1:32" x14ac:dyDescent="0.25">
      <c r="A18" s="14">
        <f>AG13</f>
        <v>16811</v>
      </c>
    </row>
    <row r="19" spans="1:32" x14ac:dyDescent="0.25">
      <c r="A19" s="13" t="s">
        <v>16</v>
      </c>
    </row>
    <row r="20" spans="1:32" x14ac:dyDescent="0.25">
      <c r="A20" s="15">
        <f>A18/A16</f>
        <v>1.0345230769230769</v>
      </c>
    </row>
    <row r="21" spans="1:32" x14ac:dyDescent="0.25">
      <c r="A21" s="18"/>
    </row>
    <row r="22" spans="1:32" x14ac:dyDescent="0.25">
      <c r="B22">
        <f>($AH$13/COUNTA($B$13:$AF$13))*COUNT($B$13:B13)</f>
        <v>524.19354838709683</v>
      </c>
      <c r="C22">
        <f>($AH$13/COUNTA($B$13:$AF$13))*COUNT($B$13:C13)</f>
        <v>1048.3870967741937</v>
      </c>
      <c r="D22">
        <f>($AH$13/COUNTA($B$13:$AF$13))*COUNT($B$13:D13)</f>
        <v>1572.5806451612905</v>
      </c>
      <c r="E22">
        <f>($AH$13/COUNTA($B$13:$AF$13))*COUNT($B$13:E13)</f>
        <v>2096.7741935483873</v>
      </c>
      <c r="F22">
        <f>($AH$13/COUNTA($B$13:$AF$13))*COUNT($B$13:F13)</f>
        <v>2620.9677419354839</v>
      </c>
      <c r="G22">
        <f>($AH$13/COUNTA($B$13:$AF$13))*COUNT($B$13:G13)</f>
        <v>3145.161290322581</v>
      </c>
      <c r="H22">
        <f>($AH$13/COUNTA($B$13:$AF$13))*COUNT($B$13:H13)</f>
        <v>3669.354838709678</v>
      </c>
      <c r="I22">
        <f>($AH$13/COUNTA($B$13:$AF$13))*COUNT($B$13:I13)</f>
        <v>4193.5483870967746</v>
      </c>
      <c r="J22">
        <f>($AH$13/COUNTA($B$13:$AF$13))*COUNT($B$13:J13)</f>
        <v>4717.7419354838712</v>
      </c>
      <c r="K22">
        <f>($AH$13/COUNTA($B$13:$AF$13))*COUNT($B$13:K13)</f>
        <v>5241.9354838709678</v>
      </c>
      <c r="L22">
        <f>($AH$13/COUNTA($B$13:$AF$13))*COUNT($B$13:L13)</f>
        <v>5766.1290322580653</v>
      </c>
      <c r="M22">
        <f>($AH$13/COUNTA($B$13:$AF$13))*COUNT($B$13:M13)</f>
        <v>6290.3225806451619</v>
      </c>
      <c r="N22">
        <f>($AH$13/COUNTA($B$13:$AF$13))*COUNT($B$13:N13)</f>
        <v>6814.5161290322585</v>
      </c>
      <c r="O22">
        <f>($AH$13/COUNTA($B$13:$AF$13))*COUNT($B$13:O13)</f>
        <v>7338.709677419356</v>
      </c>
      <c r="P22">
        <f>($AH$13/COUNTA($B$13:$AF$13))*COUNT($B$13:P13)</f>
        <v>7862.9032258064526</v>
      </c>
      <c r="Q22">
        <f>($AH$13/COUNTA($B$13:$AF$13))*COUNT($B$13:Q13)</f>
        <v>8387.0967741935492</v>
      </c>
      <c r="R22">
        <f>($AH$13/COUNTA($B$13:$AF$13))*COUNT($B$13:R13)</f>
        <v>8911.2903225806458</v>
      </c>
      <c r="S22">
        <f>($AH$13/COUNTA($B$13:$AF$13))*COUNT($B$13:S13)</f>
        <v>9435.4838709677424</v>
      </c>
      <c r="T22">
        <f>($AH$13/COUNTA($B$13:$AF$13))*COUNT($B$13:T13)</f>
        <v>9959.677419354839</v>
      </c>
      <c r="U22">
        <f>($AH$13/COUNTA($B$13:$AF$13))*COUNT($B$13:U13)</f>
        <v>10483.870967741936</v>
      </c>
      <c r="V22">
        <f>($AH$13/COUNTA($B$13:$AF$13))*COUNT($B$13:V13)</f>
        <v>11008.064516129034</v>
      </c>
      <c r="W22">
        <f>($AH$13/COUNTA($B$13:$AF$13))*COUNT($B$13:W13)</f>
        <v>11532.258064516131</v>
      </c>
      <c r="X22">
        <f>($AH$13/COUNTA($B$13:$AF$13))*COUNT($B$13:X13)</f>
        <v>12056.451612903227</v>
      </c>
      <c r="Y22">
        <f>($AH$13/COUNTA($B$13:$AF$13))*COUNT($B$13:Y13)</f>
        <v>12580.645161290324</v>
      </c>
      <c r="Z22">
        <f>($AH$13/COUNTA($B$13:$AF$13))*COUNT($B$13:Z13)</f>
        <v>13104.83870967742</v>
      </c>
      <c r="AA22">
        <f>($AH$13/COUNTA($B$13:$AF$13))*COUNT($B$13:AA13)</f>
        <v>13629.032258064517</v>
      </c>
      <c r="AB22">
        <f>($AH$13/COUNTA($B$13:$AF$13))*COUNT($B$13:AB13)</f>
        <v>14153.225806451614</v>
      </c>
      <c r="AC22">
        <f>($AH$13/COUNTA($B$13:$AF$13))*COUNT($B$13:AC13)</f>
        <v>14677.419354838712</v>
      </c>
      <c r="AD22">
        <f>($AH$13/COUNTA($B$13:$AF$13))*COUNT($B$13:AD13)</f>
        <v>15201.612903225809</v>
      </c>
      <c r="AE22">
        <f>($AH$13/COUNTA($B$13:$AF$13))*COUNT($B$13:AE13)</f>
        <v>15725.806451612905</v>
      </c>
      <c r="AF22">
        <f>($AH$13/COUNTA($B$13:$AF$13))*COUNT($B$13:AF13)</f>
        <v>16250.000000000002</v>
      </c>
    </row>
    <row r="23" spans="1:32" x14ac:dyDescent="0.25">
      <c r="B23">
        <f>B13</f>
        <v>0</v>
      </c>
      <c r="C23">
        <f>B23+C13</f>
        <v>1140</v>
      </c>
      <c r="D23">
        <f t="shared" ref="D23:AF23" si="4">C23+D13</f>
        <v>1140</v>
      </c>
      <c r="E23">
        <f t="shared" si="4"/>
        <v>1190</v>
      </c>
      <c r="F23">
        <f t="shared" si="4"/>
        <v>1320</v>
      </c>
      <c r="G23">
        <f t="shared" si="4"/>
        <v>4094</v>
      </c>
      <c r="H23">
        <f t="shared" si="4"/>
        <v>3734</v>
      </c>
      <c r="I23">
        <f t="shared" si="4"/>
        <v>3734</v>
      </c>
      <c r="J23">
        <f t="shared" si="4"/>
        <v>4184</v>
      </c>
      <c r="K23">
        <f t="shared" si="4"/>
        <v>4184</v>
      </c>
      <c r="L23">
        <f t="shared" si="4"/>
        <v>4473</v>
      </c>
      <c r="M23">
        <f t="shared" si="4"/>
        <v>5152</v>
      </c>
      <c r="N23">
        <f t="shared" si="4"/>
        <v>6202</v>
      </c>
      <c r="O23">
        <f t="shared" si="4"/>
        <v>10454</v>
      </c>
      <c r="P23">
        <f t="shared" si="4"/>
        <v>11257</v>
      </c>
      <c r="Q23">
        <f t="shared" si="4"/>
        <v>11257</v>
      </c>
      <c r="R23">
        <f t="shared" si="4"/>
        <v>11557</v>
      </c>
      <c r="S23">
        <f t="shared" si="4"/>
        <v>11557</v>
      </c>
      <c r="T23">
        <f t="shared" si="4"/>
        <v>11557</v>
      </c>
      <c r="U23">
        <f t="shared" si="4"/>
        <v>11792</v>
      </c>
      <c r="V23">
        <f t="shared" si="4"/>
        <v>12092</v>
      </c>
      <c r="W23">
        <f t="shared" si="4"/>
        <v>13412</v>
      </c>
      <c r="X23">
        <f t="shared" si="4"/>
        <v>13862</v>
      </c>
      <c r="Y23">
        <f t="shared" si="4"/>
        <v>13862</v>
      </c>
      <c r="Z23">
        <f t="shared" si="4"/>
        <v>15134</v>
      </c>
      <c r="AA23">
        <f t="shared" si="4"/>
        <v>16134</v>
      </c>
      <c r="AB23">
        <f t="shared" si="4"/>
        <v>16134</v>
      </c>
      <c r="AC23">
        <f t="shared" si="4"/>
        <v>16624</v>
      </c>
      <c r="AD23">
        <f t="shared" si="4"/>
        <v>16811</v>
      </c>
      <c r="AE23">
        <f t="shared" si="4"/>
        <v>16811</v>
      </c>
      <c r="AF23">
        <f t="shared" si="4"/>
        <v>16811</v>
      </c>
    </row>
  </sheetData>
  <conditionalFormatting sqref="AI2:AI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3"/>
  <sheetViews>
    <sheetView zoomScaleNormal="100" workbookViewId="0">
      <pane xSplit="1" topLeftCell="Q1" activePane="topRight" state="frozen"/>
      <selection pane="topRight" activeCell="AE1" sqref="AE1"/>
    </sheetView>
  </sheetViews>
  <sheetFormatPr defaultRowHeight="15" x14ac:dyDescent="0.25"/>
  <cols>
    <col min="1" max="1" width="20" style="22" customWidth="1"/>
    <col min="2" max="2" width="9.5703125" style="22" bestFit="1" customWidth="1"/>
    <col min="3" max="31" width="9.85546875" style="22" customWidth="1"/>
    <col min="32" max="32" width="13.85546875" style="22" customWidth="1"/>
    <col min="33" max="33" width="13.28515625" style="22" customWidth="1"/>
    <col min="34" max="34" width="12.140625" style="22" customWidth="1"/>
    <col min="35" max="16384" width="9.140625" style="22"/>
  </cols>
  <sheetData>
    <row r="1" spans="1:34" x14ac:dyDescent="0.25">
      <c r="A1" s="19"/>
      <c r="B1" s="20">
        <v>42979</v>
      </c>
      <c r="C1" s="20">
        <f>B1+1</f>
        <v>42980</v>
      </c>
      <c r="D1" s="20">
        <f>C1+1</f>
        <v>42981</v>
      </c>
      <c r="E1" s="20">
        <f t="shared" ref="E1:AE1" si="0">D1+1</f>
        <v>42982</v>
      </c>
      <c r="F1" s="20">
        <f t="shared" si="0"/>
        <v>42983</v>
      </c>
      <c r="G1" s="20">
        <f t="shared" si="0"/>
        <v>42984</v>
      </c>
      <c r="H1" s="20">
        <f t="shared" si="0"/>
        <v>42985</v>
      </c>
      <c r="I1" s="20">
        <f t="shared" si="0"/>
        <v>42986</v>
      </c>
      <c r="J1" s="20">
        <f t="shared" si="0"/>
        <v>42987</v>
      </c>
      <c r="K1" s="20">
        <f t="shared" si="0"/>
        <v>42988</v>
      </c>
      <c r="L1" s="20">
        <f t="shared" si="0"/>
        <v>42989</v>
      </c>
      <c r="M1" s="20">
        <f t="shared" si="0"/>
        <v>42990</v>
      </c>
      <c r="N1" s="20">
        <f t="shared" si="0"/>
        <v>42991</v>
      </c>
      <c r="O1" s="20">
        <f t="shared" si="0"/>
        <v>42992</v>
      </c>
      <c r="P1" s="20">
        <f t="shared" si="0"/>
        <v>42993</v>
      </c>
      <c r="Q1" s="20">
        <f t="shared" si="0"/>
        <v>42994</v>
      </c>
      <c r="R1" s="20">
        <f t="shared" si="0"/>
        <v>42995</v>
      </c>
      <c r="S1" s="20">
        <f t="shared" si="0"/>
        <v>42996</v>
      </c>
      <c r="T1" s="20">
        <f t="shared" si="0"/>
        <v>42997</v>
      </c>
      <c r="U1" s="20">
        <f t="shared" si="0"/>
        <v>42998</v>
      </c>
      <c r="V1" s="20">
        <f t="shared" si="0"/>
        <v>42999</v>
      </c>
      <c r="W1" s="20">
        <f t="shared" si="0"/>
        <v>43000</v>
      </c>
      <c r="X1" s="20">
        <f t="shared" si="0"/>
        <v>43001</v>
      </c>
      <c r="Y1" s="20">
        <f t="shared" si="0"/>
        <v>43002</v>
      </c>
      <c r="Z1" s="20">
        <f t="shared" si="0"/>
        <v>43003</v>
      </c>
      <c r="AA1" s="20">
        <f t="shared" si="0"/>
        <v>43004</v>
      </c>
      <c r="AB1" s="20">
        <f t="shared" si="0"/>
        <v>43005</v>
      </c>
      <c r="AC1" s="20">
        <f t="shared" si="0"/>
        <v>43006</v>
      </c>
      <c r="AD1" s="20">
        <f t="shared" si="0"/>
        <v>43007</v>
      </c>
      <c r="AE1" s="20">
        <f t="shared" si="0"/>
        <v>43008</v>
      </c>
      <c r="AF1" s="21" t="s">
        <v>0</v>
      </c>
      <c r="AG1" s="21" t="s">
        <v>1</v>
      </c>
      <c r="AH1" s="21" t="s">
        <v>17</v>
      </c>
    </row>
    <row r="2" spans="1:34" x14ac:dyDescent="0.25">
      <c r="A2" s="23" t="s">
        <v>2</v>
      </c>
      <c r="R2" s="22">
        <f>2602+150+255+500</f>
        <v>3507</v>
      </c>
      <c r="S2" s="22">
        <f>560</f>
        <v>560</v>
      </c>
      <c r="AC2" s="22">
        <f>400+210</f>
        <v>610</v>
      </c>
      <c r="AF2" s="19">
        <f t="shared" ref="AF2:AF12" si="1">SUM(B2:AE2)</f>
        <v>4677</v>
      </c>
      <c r="AG2" s="19">
        <v>2000</v>
      </c>
      <c r="AH2" s="24">
        <f>IF(AG2=0,0,AF2/AG2)</f>
        <v>2.3384999999999998</v>
      </c>
    </row>
    <row r="3" spans="1:34" x14ac:dyDescent="0.25">
      <c r="A3" s="25" t="s">
        <v>3</v>
      </c>
      <c r="E3" s="22">
        <f>15+10</f>
        <v>25</v>
      </c>
      <c r="F3" s="22">
        <f>70</f>
        <v>70</v>
      </c>
      <c r="L3" s="22">
        <f>80</f>
        <v>80</v>
      </c>
      <c r="S3" s="22">
        <f>150</f>
        <v>150</v>
      </c>
      <c r="AF3" s="19">
        <f t="shared" si="1"/>
        <v>325</v>
      </c>
      <c r="AG3" s="19">
        <v>500</v>
      </c>
      <c r="AH3" s="24">
        <f t="shared" ref="AH3:AH13" si="2">IF(AG3=0,0,AF3/AG3)</f>
        <v>0.65</v>
      </c>
    </row>
    <row r="4" spans="1:34" x14ac:dyDescent="0.25">
      <c r="A4" s="25" t="s">
        <v>4</v>
      </c>
      <c r="I4" s="22">
        <f>1152+761</f>
        <v>1913</v>
      </c>
      <c r="S4" s="22">
        <f>50+30</f>
        <v>80</v>
      </c>
      <c r="AF4" s="19">
        <f t="shared" si="1"/>
        <v>1993</v>
      </c>
      <c r="AG4" s="19">
        <v>1000</v>
      </c>
      <c r="AH4" s="24">
        <f t="shared" si="2"/>
        <v>1.9930000000000001</v>
      </c>
    </row>
    <row r="5" spans="1:34" x14ac:dyDescent="0.25">
      <c r="A5" s="25" t="s">
        <v>5</v>
      </c>
      <c r="E5" s="22">
        <f>5</f>
        <v>5</v>
      </c>
      <c r="I5" s="22">
        <f>40</f>
        <v>40</v>
      </c>
      <c r="J5" s="22">
        <f>-500</f>
        <v>-500</v>
      </c>
      <c r="N5" s="26">
        <v>13579</v>
      </c>
      <c r="O5" s="22">
        <f>800</f>
        <v>800</v>
      </c>
      <c r="P5" s="26">
        <v>1111</v>
      </c>
      <c r="AD5" s="22">
        <f>1780</f>
        <v>1780</v>
      </c>
      <c r="AF5" s="19">
        <f t="shared" si="1"/>
        <v>16815</v>
      </c>
      <c r="AG5" s="19">
        <v>1000</v>
      </c>
      <c r="AH5" s="24">
        <f t="shared" si="2"/>
        <v>16.815000000000001</v>
      </c>
    </row>
    <row r="6" spans="1:34" x14ac:dyDescent="0.25">
      <c r="A6" s="25" t="s">
        <v>13</v>
      </c>
      <c r="E6" s="22">
        <f>50</f>
        <v>50</v>
      </c>
      <c r="F6" s="22">
        <f>140+10</f>
        <v>150</v>
      </c>
      <c r="G6" s="22">
        <f>50</f>
        <v>50</v>
      </c>
      <c r="AF6" s="19">
        <f t="shared" si="1"/>
        <v>250</v>
      </c>
      <c r="AG6" s="19">
        <v>500</v>
      </c>
      <c r="AH6" s="24">
        <f t="shared" si="2"/>
        <v>0.5</v>
      </c>
    </row>
    <row r="7" spans="1:34" x14ac:dyDescent="0.25">
      <c r="A7" s="25" t="s">
        <v>6</v>
      </c>
      <c r="F7" s="22">
        <f>200</f>
        <v>200</v>
      </c>
      <c r="I7" s="27"/>
      <c r="P7" s="27"/>
      <c r="AF7" s="19">
        <f t="shared" si="1"/>
        <v>200</v>
      </c>
      <c r="AG7" s="19">
        <v>0</v>
      </c>
      <c r="AH7" s="24">
        <f t="shared" si="2"/>
        <v>0</v>
      </c>
    </row>
    <row r="8" spans="1:34" x14ac:dyDescent="0.25">
      <c r="A8" s="25" t="s">
        <v>7</v>
      </c>
      <c r="AF8" s="19">
        <f t="shared" si="1"/>
        <v>0</v>
      </c>
      <c r="AG8" s="19">
        <v>1000</v>
      </c>
      <c r="AH8" s="24">
        <f t="shared" si="2"/>
        <v>0</v>
      </c>
    </row>
    <row r="9" spans="1:34" x14ac:dyDescent="0.25">
      <c r="A9" s="25" t="s">
        <v>8</v>
      </c>
      <c r="E9" s="22">
        <f>15+10</f>
        <v>25</v>
      </c>
      <c r="F9" s="22">
        <f>110</f>
        <v>110</v>
      </c>
      <c r="I9" s="22">
        <f>250</f>
        <v>250</v>
      </c>
      <c r="J9" s="22">
        <f>361</f>
        <v>361</v>
      </c>
      <c r="M9" s="22">
        <f>500</f>
        <v>500</v>
      </c>
      <c r="O9" s="22">
        <f>212</f>
        <v>212</v>
      </c>
      <c r="R9" s="22">
        <f>20</f>
        <v>20</v>
      </c>
      <c r="X9" s="22">
        <f>200+500</f>
        <v>700</v>
      </c>
      <c r="AF9" s="19">
        <f t="shared" si="1"/>
        <v>2178</v>
      </c>
      <c r="AG9" s="19">
        <v>1500</v>
      </c>
      <c r="AH9" s="24">
        <f t="shared" si="2"/>
        <v>1.452</v>
      </c>
    </row>
    <row r="10" spans="1:34" x14ac:dyDescent="0.25">
      <c r="A10" s="25" t="s">
        <v>9</v>
      </c>
      <c r="I10" s="27"/>
      <c r="N10" s="22">
        <f>-10000</f>
        <v>-10000</v>
      </c>
      <c r="O10" s="22">
        <f>-800</f>
        <v>-800</v>
      </c>
      <c r="AF10" s="19">
        <f t="shared" si="1"/>
        <v>-10800</v>
      </c>
      <c r="AG10" s="19">
        <f>-1000</f>
        <v>-1000</v>
      </c>
      <c r="AH10" s="24">
        <f t="shared" si="2"/>
        <v>10.8</v>
      </c>
    </row>
    <row r="11" spans="1:34" x14ac:dyDescent="0.25">
      <c r="A11" s="25" t="s">
        <v>10</v>
      </c>
      <c r="D11" s="22">
        <f>387</f>
        <v>387</v>
      </c>
      <c r="G11" s="22">
        <f>480+170</f>
        <v>650</v>
      </c>
      <c r="H11" s="22">
        <f>711</f>
        <v>711</v>
      </c>
      <c r="K11" s="22">
        <f>625</f>
        <v>625</v>
      </c>
      <c r="Q11" s="22">
        <f>578+129</f>
        <v>707</v>
      </c>
      <c r="Z11" s="22">
        <f>165+400</f>
        <v>565</v>
      </c>
      <c r="AA11" s="22">
        <f>583</f>
        <v>583</v>
      </c>
      <c r="AC11" s="22">
        <f>150+318+30</f>
        <v>498</v>
      </c>
      <c r="AE11" s="22">
        <f>1164</f>
        <v>1164</v>
      </c>
      <c r="AF11" s="19">
        <f t="shared" si="1"/>
        <v>5890</v>
      </c>
      <c r="AG11" s="19">
        <v>2500</v>
      </c>
      <c r="AH11" s="24">
        <f t="shared" si="2"/>
        <v>2.3559999999999999</v>
      </c>
    </row>
    <row r="12" spans="1:34" x14ac:dyDescent="0.25">
      <c r="A12" s="28" t="s">
        <v>11</v>
      </c>
      <c r="L12" s="22">
        <f>300</f>
        <v>300</v>
      </c>
      <c r="P12" s="22">
        <f>649</f>
        <v>649</v>
      </c>
      <c r="AF12" s="19">
        <f t="shared" si="1"/>
        <v>949</v>
      </c>
      <c r="AG12" s="19">
        <v>500</v>
      </c>
      <c r="AH12" s="24">
        <f t="shared" si="2"/>
        <v>1.8979999999999999</v>
      </c>
    </row>
    <row r="13" spans="1:34" s="31" customFormat="1" x14ac:dyDescent="0.25">
      <c r="A13" s="29" t="s">
        <v>12</v>
      </c>
      <c r="B13" s="30">
        <f t="shared" ref="B13:AE13" si="3">SUM(B2:B12)</f>
        <v>0</v>
      </c>
      <c r="C13" s="30">
        <f t="shared" si="3"/>
        <v>0</v>
      </c>
      <c r="D13" s="30">
        <f t="shared" si="3"/>
        <v>387</v>
      </c>
      <c r="E13" s="30">
        <f t="shared" si="3"/>
        <v>105</v>
      </c>
      <c r="F13" s="30">
        <f t="shared" si="3"/>
        <v>530</v>
      </c>
      <c r="G13" s="30">
        <f t="shared" si="3"/>
        <v>700</v>
      </c>
      <c r="H13" s="30">
        <f t="shared" si="3"/>
        <v>711</v>
      </c>
      <c r="I13" s="30">
        <f t="shared" si="3"/>
        <v>2203</v>
      </c>
      <c r="J13" s="30">
        <f t="shared" si="3"/>
        <v>-139</v>
      </c>
      <c r="K13" s="30">
        <f t="shared" si="3"/>
        <v>625</v>
      </c>
      <c r="L13" s="30">
        <f t="shared" si="3"/>
        <v>380</v>
      </c>
      <c r="M13" s="30">
        <f t="shared" si="3"/>
        <v>500</v>
      </c>
      <c r="N13" s="30">
        <f t="shared" si="3"/>
        <v>3579</v>
      </c>
      <c r="O13" s="30">
        <f t="shared" si="3"/>
        <v>212</v>
      </c>
      <c r="P13" s="30">
        <f t="shared" si="3"/>
        <v>1760</v>
      </c>
      <c r="Q13" s="30">
        <f t="shared" si="3"/>
        <v>707</v>
      </c>
      <c r="R13" s="30">
        <f t="shared" si="3"/>
        <v>3527</v>
      </c>
      <c r="S13" s="30">
        <f t="shared" si="3"/>
        <v>790</v>
      </c>
      <c r="T13" s="30">
        <f t="shared" si="3"/>
        <v>0</v>
      </c>
      <c r="U13" s="30">
        <f t="shared" si="3"/>
        <v>0</v>
      </c>
      <c r="V13" s="30">
        <f t="shared" si="3"/>
        <v>0</v>
      </c>
      <c r="W13" s="30">
        <f t="shared" si="3"/>
        <v>0</v>
      </c>
      <c r="X13" s="30">
        <f t="shared" si="3"/>
        <v>700</v>
      </c>
      <c r="Y13" s="30">
        <f t="shared" si="3"/>
        <v>0</v>
      </c>
      <c r="Z13" s="30">
        <f t="shared" si="3"/>
        <v>565</v>
      </c>
      <c r="AA13" s="30">
        <f t="shared" si="3"/>
        <v>583</v>
      </c>
      <c r="AB13" s="30">
        <f t="shared" si="3"/>
        <v>0</v>
      </c>
      <c r="AC13" s="30">
        <f t="shared" si="3"/>
        <v>1108</v>
      </c>
      <c r="AD13" s="30">
        <f t="shared" si="3"/>
        <v>1780</v>
      </c>
      <c r="AE13" s="30">
        <f t="shared" si="3"/>
        <v>1164</v>
      </c>
      <c r="AF13" s="30">
        <f>SUM(AF2:AF12)</f>
        <v>22477</v>
      </c>
      <c r="AG13" s="30">
        <f>SUM(AG2:AG12)</f>
        <v>9500</v>
      </c>
      <c r="AH13" s="24">
        <f t="shared" si="2"/>
        <v>2.3660000000000001</v>
      </c>
    </row>
    <row r="14" spans="1:34" x14ac:dyDescent="0.25">
      <c r="A14" s="27"/>
    </row>
    <row r="15" spans="1:34" x14ac:dyDescent="0.25">
      <c r="A15" s="32" t="s">
        <v>14</v>
      </c>
    </row>
    <row r="16" spans="1:34" x14ac:dyDescent="0.25">
      <c r="A16" s="33">
        <f>AG13</f>
        <v>9500</v>
      </c>
      <c r="AF16" s="34"/>
    </row>
    <row r="17" spans="1:31" x14ac:dyDescent="0.25">
      <c r="A17" s="32" t="s">
        <v>15</v>
      </c>
    </row>
    <row r="18" spans="1:31" x14ac:dyDescent="0.25">
      <c r="A18" s="33">
        <f>AF13</f>
        <v>22477</v>
      </c>
    </row>
    <row r="19" spans="1:31" x14ac:dyDescent="0.25">
      <c r="A19" s="32" t="s">
        <v>16</v>
      </c>
    </row>
    <row r="20" spans="1:31" x14ac:dyDescent="0.25">
      <c r="A20" s="35">
        <f>A18/A16</f>
        <v>2.3660000000000001</v>
      </c>
    </row>
    <row r="21" spans="1:31" x14ac:dyDescent="0.25">
      <c r="A21" s="36"/>
    </row>
    <row r="22" spans="1:31" x14ac:dyDescent="0.25">
      <c r="B22" s="37">
        <f>($AG$13/COUNTA($B$13:$AE$13))*COUNT($B$13:B13)</f>
        <v>316.66666666666669</v>
      </c>
      <c r="C22" s="37">
        <f>($AG$13/COUNTA($B$13:$AE$13))*COUNT($B$13:C13)</f>
        <v>633.33333333333337</v>
      </c>
      <c r="D22" s="37">
        <f>($AG$13/COUNTA($B$13:$AE$13))*COUNT($B$13:D13)</f>
        <v>950</v>
      </c>
      <c r="E22" s="37">
        <f>($AG$13/COUNTA($B$13:$AE$13))*COUNT($B$13:E13)</f>
        <v>1266.6666666666667</v>
      </c>
      <c r="F22" s="37">
        <f>($AG$13/COUNTA($B$13:$AE$13))*COUNT($B$13:F13)</f>
        <v>1583.3333333333335</v>
      </c>
      <c r="G22" s="37">
        <f>($AG$13/COUNTA($B$13:$AE$13))*COUNT($B$13:G13)</f>
        <v>1900</v>
      </c>
      <c r="H22" s="37">
        <f>($AG$13/COUNTA($B$13:$AE$13))*COUNT($B$13:H13)</f>
        <v>2216.666666666667</v>
      </c>
      <c r="I22" s="37">
        <f>($AG$13/COUNTA($B$13:$AE$13))*COUNT($B$13:I13)</f>
        <v>2533.3333333333335</v>
      </c>
      <c r="J22" s="37">
        <f>($AG$13/COUNTA($B$13:$AE$13))*COUNT($B$13:J13)</f>
        <v>2850</v>
      </c>
      <c r="K22" s="37">
        <f>($AG$13/COUNTA($B$13:$AE$13))*COUNT($B$13:K13)</f>
        <v>3166.666666666667</v>
      </c>
      <c r="L22" s="37">
        <f>($AG$13/COUNTA($B$13:$AE$13))*COUNT($B$13:L13)</f>
        <v>3483.3333333333335</v>
      </c>
      <c r="M22" s="37">
        <f>($AG$13/COUNTA($B$13:$AE$13))*COUNT($B$13:M13)</f>
        <v>3800</v>
      </c>
      <c r="N22" s="37">
        <f>($AG$13/COUNTA($B$13:$AE$13))*COUNT($B$13:N13)</f>
        <v>4116.666666666667</v>
      </c>
      <c r="O22" s="37">
        <f>($AG$13/COUNTA($B$13:$AE$13))*COUNT($B$13:O13)</f>
        <v>4433.3333333333339</v>
      </c>
      <c r="P22" s="37">
        <f>($AG$13/COUNTA($B$13:$AE$13))*COUNT($B$13:P13)</f>
        <v>4750</v>
      </c>
      <c r="Q22" s="37">
        <f>($AG$13/COUNTA($B$13:$AE$13))*COUNT($B$13:Q13)</f>
        <v>5066.666666666667</v>
      </c>
      <c r="R22" s="37">
        <f>($AG$13/COUNTA($B$13:$AE$13))*COUNT($B$13:R13)</f>
        <v>5383.3333333333339</v>
      </c>
      <c r="S22" s="37">
        <f>($AG$13/COUNTA($B$13:$AE$13))*COUNT($B$13:S13)</f>
        <v>5700</v>
      </c>
      <c r="T22" s="37">
        <f>($AG$13/COUNTA($B$13:$AE$13))*COUNT($B$13:T13)</f>
        <v>6016.666666666667</v>
      </c>
      <c r="U22" s="37">
        <f>($AG$13/COUNTA($B$13:$AE$13))*COUNT($B$13:U13)</f>
        <v>6333.3333333333339</v>
      </c>
      <c r="V22" s="37">
        <f>($AG$13/COUNTA($B$13:$AE$13))*COUNT($B$13:V13)</f>
        <v>6650</v>
      </c>
      <c r="W22" s="37">
        <f>($AG$13/COUNTA($B$13:$AE$13))*COUNT($B$13:W13)</f>
        <v>6966.666666666667</v>
      </c>
      <c r="X22" s="37">
        <f>($AG$13/COUNTA($B$13:$AE$13))*COUNT($B$13:X13)</f>
        <v>7283.3333333333339</v>
      </c>
      <c r="Y22" s="37">
        <f>($AG$13/COUNTA($B$13:$AE$13))*COUNT($B$13:Y13)</f>
        <v>7600</v>
      </c>
      <c r="Z22" s="37">
        <f>($AG$13/COUNTA($B$13:$AE$13))*COUNT($B$13:Z13)</f>
        <v>7916.666666666667</v>
      </c>
      <c r="AA22" s="37">
        <f>($AG$13/COUNTA($B$13:$AE$13))*COUNT($B$13:AA13)</f>
        <v>8233.3333333333339</v>
      </c>
      <c r="AB22" s="37">
        <f>($AG$13/COUNTA($B$13:$AE$13))*COUNT($B$13:AB13)</f>
        <v>8550</v>
      </c>
      <c r="AC22" s="37">
        <f>($AG$13/COUNTA($B$13:$AE$13))*COUNT($B$13:AC13)</f>
        <v>8866.6666666666679</v>
      </c>
      <c r="AD22" s="37">
        <f>($AG$13/COUNTA($B$13:$AE$13))*COUNT($B$13:AD13)</f>
        <v>9183.3333333333339</v>
      </c>
      <c r="AE22" s="37">
        <f>($AG$13/COUNTA($B$13:$AE$13))*COUNT($B$13:AE13)</f>
        <v>9500</v>
      </c>
    </row>
    <row r="23" spans="1:31" x14ac:dyDescent="0.25">
      <c r="B23" s="38">
        <f>B13</f>
        <v>0</v>
      </c>
      <c r="C23" s="38">
        <f>B23+C13</f>
        <v>0</v>
      </c>
      <c r="D23" s="38">
        <f t="shared" ref="D23:AE23" si="4">C23+D13</f>
        <v>387</v>
      </c>
      <c r="E23" s="38">
        <f t="shared" si="4"/>
        <v>492</v>
      </c>
      <c r="F23" s="38">
        <f t="shared" si="4"/>
        <v>1022</v>
      </c>
      <c r="G23" s="38">
        <f t="shared" si="4"/>
        <v>1722</v>
      </c>
      <c r="H23" s="38">
        <f t="shared" si="4"/>
        <v>2433</v>
      </c>
      <c r="I23" s="38">
        <f t="shared" si="4"/>
        <v>4636</v>
      </c>
      <c r="J23" s="38">
        <f t="shared" si="4"/>
        <v>4497</v>
      </c>
      <c r="K23" s="38">
        <f t="shared" si="4"/>
        <v>5122</v>
      </c>
      <c r="L23" s="38">
        <f t="shared" si="4"/>
        <v>5502</v>
      </c>
      <c r="M23" s="38">
        <f t="shared" si="4"/>
        <v>6002</v>
      </c>
      <c r="N23" s="38">
        <f t="shared" si="4"/>
        <v>9581</v>
      </c>
      <c r="O23" s="38">
        <f t="shared" si="4"/>
        <v>9793</v>
      </c>
      <c r="P23" s="38">
        <f t="shared" si="4"/>
        <v>11553</v>
      </c>
      <c r="Q23" s="38">
        <f t="shared" si="4"/>
        <v>12260</v>
      </c>
      <c r="R23" s="38">
        <f t="shared" si="4"/>
        <v>15787</v>
      </c>
      <c r="S23" s="38">
        <f t="shared" si="4"/>
        <v>16577</v>
      </c>
      <c r="T23" s="38">
        <f t="shared" si="4"/>
        <v>16577</v>
      </c>
      <c r="U23" s="38">
        <f t="shared" si="4"/>
        <v>16577</v>
      </c>
      <c r="V23" s="38">
        <f t="shared" si="4"/>
        <v>16577</v>
      </c>
      <c r="W23" s="38">
        <f t="shared" si="4"/>
        <v>16577</v>
      </c>
      <c r="X23" s="38">
        <f t="shared" si="4"/>
        <v>17277</v>
      </c>
      <c r="Y23" s="38">
        <f t="shared" si="4"/>
        <v>17277</v>
      </c>
      <c r="Z23" s="38">
        <f t="shared" si="4"/>
        <v>17842</v>
      </c>
      <c r="AA23" s="38">
        <f t="shared" si="4"/>
        <v>18425</v>
      </c>
      <c r="AB23" s="38">
        <f t="shared" si="4"/>
        <v>18425</v>
      </c>
      <c r="AC23" s="38">
        <f t="shared" si="4"/>
        <v>19533</v>
      </c>
      <c r="AD23" s="38">
        <f t="shared" si="4"/>
        <v>21313</v>
      </c>
      <c r="AE23" s="38">
        <f t="shared" si="4"/>
        <v>22477</v>
      </c>
    </row>
  </sheetData>
  <conditionalFormatting sqref="AH2:AH13">
    <cfRule type="colorScale" priority="1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2016-12-25T12:52:42Z</dcterms:created>
  <dcterms:modified xsi:type="dcterms:W3CDTF">2018-01-06T11:16:40Z</dcterms:modified>
</cp:coreProperties>
</file>